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tables/table3.xml" ContentType="application/vnd.openxmlformats-officedocument.spreadsheetml.tab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L:\CONTROL FINANCIERO - CABILDO\PAIF\2025\"/>
    </mc:Choice>
  </mc:AlternateContent>
  <xr:revisionPtr revIDLastSave="0" documentId="13_ncr:1_{FAD02741-CA42-4473-8C55-5E31377BDEBA}" xr6:coauthVersionLast="47" xr6:coauthVersionMax="47" xr10:uidLastSave="{00000000-0000-0000-0000-000000000000}"/>
  <bookViews>
    <workbookView xWindow="-108" yWindow="-108" windowWidth="23256" windowHeight="12456" tabRatio="850" firstSheet="2" activeTab="5" xr2:uid="{00000000-000D-0000-FFFF-FFFF00000000}"/>
  </bookViews>
  <sheets>
    <sheet name="_GENERAL" sheetId="4" r:id="rId1"/>
    <sheet name="_CHECK_LIST" sheetId="37" r:id="rId2"/>
    <sheet name="FC-1_ORGANOS_GOBIERNO" sheetId="1" r:id="rId3"/>
    <sheet name="FC-2_ACCIONISTAS" sheetId="3" r:id="rId4"/>
    <sheet name="FC-3_CPyG" sheetId="7" r:id="rId5"/>
    <sheet name="FC-3_1_INF_ADIC_CPyG" sheetId="36" r:id="rId6"/>
    <sheet name="FC-4_ACTIVO" sheetId="9" r:id="rId7"/>
    <sheet name="FC-4_PASIVO" sheetId="14" r:id="rId8"/>
    <sheet name="FC-6_Inversiones" sheetId="13" r:id="rId9"/>
    <sheet name="FC-7_INF" sheetId="15" r:id="rId10"/>
    <sheet name="FC-8_INV_FINANCIERAS" sheetId="17" r:id="rId11"/>
    <sheet name="FC-9_TRANS_SUBV" sheetId="39" r:id="rId12"/>
    <sheet name="FC-9_1_SUBV_REINT" sheetId="43" r:id="rId13"/>
    <sheet name="FC-10_DEUDAS" sheetId="23" r:id="rId14"/>
    <sheet name="FC-11_DEUDA_VIVA" sheetId="20" r:id="rId15"/>
    <sheet name="FC-12_PERFIL_VTO_DEUDA" sheetId="21" r:id="rId16"/>
    <sheet name="FC-13_PERSONAL" sheetId="25" r:id="rId17"/>
    <sheet name="FC-14_OPER_INTERNAS" sheetId="27" r:id="rId18"/>
    <sheet name="FC-15_ENCARGOS" sheetId="28" r:id="rId19"/>
    <sheet name="_FC-16_ESTAB_PRESUP" sheetId="29" r:id="rId20"/>
    <sheet name="_FC-16_1_ INF_ADIC_ESTAB_PRESUP" sheetId="42" r:id="rId21"/>
    <sheet name="_FC-17_FINANCIACIÓN" sheetId="31" r:id="rId22"/>
    <sheet name="FC-90" sheetId="34" r:id="rId23"/>
    <sheet name="_FC-90_DETALLE" sheetId="41" state="hidden" r:id="rId24"/>
  </sheets>
  <definedNames>
    <definedName name="_35_1">_GENERAL!$AO$14</definedName>
    <definedName name="_35_2">_GENERAL!$AP$14</definedName>
    <definedName name="_36_1">_GENERAL!$AO$15</definedName>
    <definedName name="_36_2">_GENERAL!$AP$15</definedName>
    <definedName name="_37_1">_GENERAL!$AO$16</definedName>
    <definedName name="_37_2">_GENERAL!$AP$16</definedName>
    <definedName name="_38_1">_GENERAL!$AO$17</definedName>
    <definedName name="_38_2">_GENERAL!$AP$17</definedName>
    <definedName name="Año_fin">Tabla3[Año_fin]</definedName>
    <definedName name="_xlnm.Print_Area" localSheetId="1">_CHECK_LIST!$B$1:$I$79</definedName>
    <definedName name="_xlnm.Print_Area" localSheetId="20">'_FC-16_1_ INF_ADIC_ESTAB_PRESUP'!$B$1:$L$34</definedName>
    <definedName name="_xlnm.Print_Area" localSheetId="19">'_FC-16_ESTAB_PRESUP'!$B$1:$H$85</definedName>
    <definedName name="_xlnm.Print_Area" localSheetId="21">'_FC-17_FINANCIACIÓN'!$B$1:$F$42</definedName>
    <definedName name="_xlnm.Print_Area" localSheetId="0">_GENERAL!$B$1:$N$48</definedName>
    <definedName name="_xlnm.Print_Area" localSheetId="2">'FC-1_ORGANOS_GOBIERNO'!#REF!</definedName>
    <definedName name="_xlnm.Print_Area" localSheetId="13">'FC-10_DEUDAS'!$B$1:$T$87</definedName>
    <definedName name="_xlnm.Print_Area" localSheetId="14">'FC-11_DEUDA_VIVA'!$B$1:$J$63</definedName>
    <definedName name="_xlnm.Print_Area" localSheetId="15">'FC-12_PERFIL_VTO_DEUDA'!$B$1:$P$63</definedName>
    <definedName name="_xlnm.Print_Area" localSheetId="16">'FC-13_PERSONAL'!$B$1:$K$66</definedName>
    <definedName name="_xlnm.Print_Area" localSheetId="17">'FC-14_OPER_INTERNAS'!$B$1:$I$111</definedName>
    <definedName name="_xlnm.Print_Area" localSheetId="18">'FC-15_ENCARGOS'!$B$1:$I$41</definedName>
    <definedName name="_xlnm.Print_Area" localSheetId="3">'FC-2_ACCIONISTAS'!$B$1:$Q$55</definedName>
    <definedName name="_xlnm.Print_Area" localSheetId="5">'FC-3_1_INF_ADIC_CPyG'!$B$1:$H$103</definedName>
    <definedName name="_xlnm.Print_Area" localSheetId="4">'FC-3_CPyG'!$B$1:$I$88</definedName>
    <definedName name="_xlnm.Print_Area" localSheetId="6">'FC-4_ACTIVO'!$B$1:$I$37</definedName>
    <definedName name="_xlnm.Print_Area" localSheetId="7">'FC-4_PASIVO'!$B$1:$I$59</definedName>
    <definedName name="_xlnm.Print_Area" localSheetId="8">'FC-6_Inversiones'!$B$1:$S$55</definedName>
    <definedName name="_xlnm.Print_Area" localSheetId="9">'FC-7_INF'!$B$1:$P$47</definedName>
    <definedName name="_xlnm.Print_Area" localSheetId="10">'FC-8_INV_FINANCIERAS'!$B$1:$N$71</definedName>
    <definedName name="_xlnm.Print_Area" localSheetId="12">'FC-9_1_SUBV_REINT'!$B$1:$Q$81</definedName>
    <definedName name="_xlnm.Print_Area" localSheetId="11">'FC-9_TRANS_SUBV'!$B$1:$S$128</definedName>
    <definedName name="_xlnm.Print_Area" localSheetId="22">'FC-90'!$B$1:$F$65</definedName>
    <definedName name="Codigo">_GENERAL!$P$13</definedName>
    <definedName name="DEPENDENCIA">_GENERAL!$H$16</definedName>
    <definedName name="EE_DD" localSheetId="12">Tabla1[EE_DD]</definedName>
    <definedName name="EE_DD">Tabla1[EE_DD]</definedName>
    <definedName name="ejercicio">_GENERAL!$D$16</definedName>
    <definedName name="Entidad">_GENERAL!$D$13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76" i="7" l="1"/>
  <c r="F186" i="41"/>
  <c r="E93" i="41" l="1"/>
  <c r="D2" i="1" l="1"/>
  <c r="D2" i="37"/>
  <c r="D3" i="37"/>
  <c r="D3" i="1" s="1"/>
  <c r="H78" i="7"/>
  <c r="H76" i="7"/>
  <c r="G78" i="7"/>
  <c r="G76" i="7"/>
  <c r="E45" i="36" l="1"/>
  <c r="G33" i="7" l="1"/>
  <c r="H33" i="7"/>
  <c r="J18" i="3" l="1"/>
  <c r="G20" i="7" l="1"/>
  <c r="J19" i="3" l="1"/>
  <c r="J20" i="3"/>
  <c r="J21" i="3"/>
  <c r="J22" i="3"/>
  <c r="J23" i="3"/>
  <c r="J17" i="3"/>
  <c r="C80" i="43" l="1"/>
  <c r="C31" i="43"/>
  <c r="P29" i="43"/>
  <c r="O29" i="43"/>
  <c r="L29" i="43"/>
  <c r="K29" i="43"/>
  <c r="J29" i="43"/>
  <c r="I29" i="43"/>
  <c r="C29" i="43"/>
  <c r="N28" i="43"/>
  <c r="N27" i="43"/>
  <c r="N26" i="43"/>
  <c r="N25" i="43"/>
  <c r="N24" i="43"/>
  <c r="N23" i="43"/>
  <c r="N22" i="43"/>
  <c r="N21" i="43"/>
  <c r="N20" i="43"/>
  <c r="N19" i="43"/>
  <c r="N18" i="43"/>
  <c r="L18" i="43"/>
  <c r="K18" i="43"/>
  <c r="J18" i="43"/>
  <c r="C16" i="43"/>
  <c r="E14" i="36"/>
  <c r="AD41" i="1"/>
  <c r="H19" i="37" s="1"/>
  <c r="AD40" i="1"/>
  <c r="H18" i="37" s="1"/>
  <c r="AG38" i="1"/>
  <c r="AF38" i="1"/>
  <c r="AE38" i="1"/>
  <c r="AD38" i="1"/>
  <c r="P38" i="1"/>
  <c r="L38" i="1" s="1"/>
  <c r="O38" i="1"/>
  <c r="AG37" i="1"/>
  <c r="AF37" i="1"/>
  <c r="AE37" i="1"/>
  <c r="AD37" i="1"/>
  <c r="P37" i="1"/>
  <c r="L37" i="1" s="1"/>
  <c r="O37" i="1"/>
  <c r="AG36" i="1"/>
  <c r="AF36" i="1"/>
  <c r="AE36" i="1"/>
  <c r="AD36" i="1"/>
  <c r="P36" i="1"/>
  <c r="L36" i="1" s="1"/>
  <c r="O36" i="1"/>
  <c r="AG35" i="1"/>
  <c r="AF35" i="1"/>
  <c r="AE35" i="1"/>
  <c r="AD35" i="1"/>
  <c r="P35" i="1"/>
  <c r="O35" i="1"/>
  <c r="L35" i="1"/>
  <c r="AG34" i="1"/>
  <c r="AF34" i="1"/>
  <c r="AE34" i="1"/>
  <c r="AD34" i="1"/>
  <c r="P34" i="1"/>
  <c r="L34" i="1" s="1"/>
  <c r="O34" i="1"/>
  <c r="AG33" i="1"/>
  <c r="AF33" i="1"/>
  <c r="AE33" i="1"/>
  <c r="AD33" i="1"/>
  <c r="P33" i="1"/>
  <c r="L33" i="1" s="1"/>
  <c r="O33" i="1"/>
  <c r="AG32" i="1"/>
  <c r="AF32" i="1"/>
  <c r="AE32" i="1"/>
  <c r="AD32" i="1"/>
  <c r="P32" i="1"/>
  <c r="L32" i="1" s="1"/>
  <c r="O32" i="1"/>
  <c r="AG31" i="1"/>
  <c r="AF31" i="1"/>
  <c r="AE31" i="1"/>
  <c r="AD31" i="1"/>
  <c r="P31" i="1"/>
  <c r="L31" i="1" s="1"/>
  <c r="O31" i="1"/>
  <c r="AG30" i="1"/>
  <c r="AF30" i="1"/>
  <c r="AE30" i="1"/>
  <c r="AD30" i="1"/>
  <c r="P30" i="1"/>
  <c r="L30" i="1" s="1"/>
  <c r="O30" i="1"/>
  <c r="AG29" i="1"/>
  <c r="AF29" i="1"/>
  <c r="AE29" i="1"/>
  <c r="AD29" i="1"/>
  <c r="P29" i="1"/>
  <c r="L29" i="1" s="1"/>
  <c r="O29" i="1"/>
  <c r="AG28" i="1"/>
  <c r="AF28" i="1"/>
  <c r="AE28" i="1"/>
  <c r="AD28" i="1"/>
  <c r="AG27" i="1"/>
  <c r="AF27" i="1"/>
  <c r="AE27" i="1"/>
  <c r="AD27" i="1"/>
  <c r="AA27" i="1"/>
  <c r="Z27" i="1"/>
  <c r="AG26" i="1"/>
  <c r="AF26" i="1"/>
  <c r="AE26" i="1"/>
  <c r="AD26" i="1"/>
  <c r="AG25" i="1"/>
  <c r="AF25" i="1"/>
  <c r="AE25" i="1"/>
  <c r="AD25" i="1"/>
  <c r="AA25" i="1"/>
  <c r="Z25" i="1"/>
  <c r="AG24" i="1"/>
  <c r="AF24" i="1"/>
  <c r="AE24" i="1"/>
  <c r="AD24" i="1"/>
  <c r="AG23" i="1"/>
  <c r="AF23" i="1"/>
  <c r="AE23" i="1"/>
  <c r="AD23" i="1"/>
  <c r="AA23" i="1"/>
  <c r="Z23" i="1"/>
  <c r="D9" i="1"/>
  <c r="H6" i="1"/>
  <c r="F181" i="41"/>
  <c r="F182" i="41"/>
  <c r="F183" i="41"/>
  <c r="F184" i="41"/>
  <c r="F185" i="41"/>
  <c r="F187" i="41"/>
  <c r="J78" i="39"/>
  <c r="I78" i="39"/>
  <c r="H78" i="39"/>
  <c r="G78" i="39"/>
  <c r="G53" i="13"/>
  <c r="G51" i="13"/>
  <c r="F49" i="13"/>
  <c r="H102" i="41"/>
  <c r="O54" i="21"/>
  <c r="N54" i="21"/>
  <c r="M54" i="21"/>
  <c r="L54" i="21"/>
  <c r="K54" i="21"/>
  <c r="J54" i="21"/>
  <c r="I54" i="21"/>
  <c r="H54" i="21"/>
  <c r="G54" i="21"/>
  <c r="F54" i="21"/>
  <c r="O51" i="21"/>
  <c r="N51" i="21"/>
  <c r="M51" i="21"/>
  <c r="L51" i="21"/>
  <c r="K51" i="21"/>
  <c r="J51" i="21"/>
  <c r="I51" i="21"/>
  <c r="H51" i="21"/>
  <c r="G51" i="21"/>
  <c r="F51" i="21"/>
  <c r="M50" i="21"/>
  <c r="O42" i="21"/>
  <c r="N42" i="21"/>
  <c r="M42" i="21"/>
  <c r="L42" i="21"/>
  <c r="K42" i="21"/>
  <c r="J42" i="21"/>
  <c r="I42" i="21"/>
  <c r="H42" i="21"/>
  <c r="G42" i="21"/>
  <c r="F42" i="21"/>
  <c r="O39" i="21"/>
  <c r="N39" i="21"/>
  <c r="M39" i="21"/>
  <c r="L39" i="21"/>
  <c r="K39" i="21"/>
  <c r="J39" i="21"/>
  <c r="I39" i="21"/>
  <c r="H39" i="21"/>
  <c r="G39" i="21"/>
  <c r="F39" i="21"/>
  <c r="O38" i="21"/>
  <c r="N38" i="21"/>
  <c r="M38" i="21"/>
  <c r="L38" i="21"/>
  <c r="K38" i="21"/>
  <c r="J38" i="21"/>
  <c r="I38" i="21"/>
  <c r="H38" i="21"/>
  <c r="G38" i="21"/>
  <c r="F38" i="21"/>
  <c r="O21" i="21"/>
  <c r="N21" i="21"/>
  <c r="M21" i="21"/>
  <c r="L21" i="21"/>
  <c r="K21" i="21"/>
  <c r="J21" i="21"/>
  <c r="I21" i="21"/>
  <c r="H21" i="21"/>
  <c r="G21" i="21"/>
  <c r="F21" i="21"/>
  <c r="O16" i="21"/>
  <c r="N16" i="21"/>
  <c r="M16" i="21"/>
  <c r="L16" i="21"/>
  <c r="L33" i="21" s="1"/>
  <c r="K16" i="21"/>
  <c r="K33" i="21" s="1"/>
  <c r="J16" i="21"/>
  <c r="J33" i="21" s="1"/>
  <c r="I16" i="21"/>
  <c r="I33" i="21" s="1"/>
  <c r="H16" i="21"/>
  <c r="H33" i="21" s="1"/>
  <c r="G16" i="21"/>
  <c r="F16" i="21"/>
  <c r="O14" i="21"/>
  <c r="N14" i="21"/>
  <c r="M14" i="21"/>
  <c r="L14" i="21"/>
  <c r="K14" i="21"/>
  <c r="J14" i="21"/>
  <c r="I14" i="21"/>
  <c r="H14" i="21"/>
  <c r="G14" i="21"/>
  <c r="F14" i="21"/>
  <c r="M13" i="21"/>
  <c r="I56" i="20"/>
  <c r="H56" i="20"/>
  <c r="G56" i="20"/>
  <c r="F56" i="20"/>
  <c r="I53" i="20"/>
  <c r="H53" i="20"/>
  <c r="G53" i="20"/>
  <c r="F53" i="20"/>
  <c r="I43" i="20"/>
  <c r="H43" i="20"/>
  <c r="G43" i="20"/>
  <c r="F43" i="20"/>
  <c r="I40" i="20"/>
  <c r="H40" i="20"/>
  <c r="G40" i="20"/>
  <c r="F40" i="20"/>
  <c r="I39" i="20"/>
  <c r="H39" i="20"/>
  <c r="G39" i="20"/>
  <c r="F39" i="20"/>
  <c r="I22" i="20"/>
  <c r="H22" i="20"/>
  <c r="G22" i="20"/>
  <c r="F22" i="20"/>
  <c r="I17" i="20"/>
  <c r="H17" i="20"/>
  <c r="G17" i="20"/>
  <c r="G34" i="20" s="1"/>
  <c r="F17" i="20"/>
  <c r="F34" i="20" s="1"/>
  <c r="I15" i="20"/>
  <c r="H15" i="20"/>
  <c r="G15" i="20"/>
  <c r="F15" i="20"/>
  <c r="P64" i="43"/>
  <c r="O64" i="43"/>
  <c r="N64" i="43"/>
  <c r="M64" i="43"/>
  <c r="L64" i="43"/>
  <c r="K64" i="43"/>
  <c r="J64" i="43"/>
  <c r="I64" i="43"/>
  <c r="P61" i="43"/>
  <c r="O61" i="43"/>
  <c r="M61" i="43"/>
  <c r="F67" i="41" s="1"/>
  <c r="L61" i="43"/>
  <c r="K61" i="43"/>
  <c r="J61" i="43"/>
  <c r="I61" i="43"/>
  <c r="F43" i="36"/>
  <c r="E43" i="36"/>
  <c r="F38" i="36"/>
  <c r="E38" i="36"/>
  <c r="F26" i="36"/>
  <c r="E26" i="36"/>
  <c r="P13" i="4"/>
  <c r="H32" i="7"/>
  <c r="G32" i="7"/>
  <c r="F32" i="7"/>
  <c r="E32" i="7"/>
  <c r="D15" i="4" a="1"/>
  <c r="D14" i="4" a="1"/>
  <c r="O33" i="21" l="1"/>
  <c r="F33" i="21"/>
  <c r="F48" i="21" s="1"/>
  <c r="M33" i="21"/>
  <c r="G33" i="21"/>
  <c r="N33" i="21"/>
  <c r="N29" i="43"/>
  <c r="AE22" i="1"/>
  <c r="I17" i="1" s="1"/>
  <c r="AD22" i="1"/>
  <c r="I16" i="1" s="1"/>
  <c r="AF22" i="1"/>
  <c r="I19" i="1" s="1"/>
  <c r="Z38" i="1"/>
  <c r="H17" i="37" s="1"/>
  <c r="AG22" i="1"/>
  <c r="H20" i="37" s="1"/>
  <c r="H34" i="20"/>
  <c r="H49" i="20" s="1"/>
  <c r="I34" i="20"/>
  <c r="I49" i="20" s="1"/>
  <c r="F49" i="20"/>
  <c r="G49" i="20"/>
  <c r="G48" i="21"/>
  <c r="L48" i="21"/>
  <c r="H48" i="21"/>
  <c r="I48" i="21"/>
  <c r="J48" i="21"/>
  <c r="K48" i="21"/>
  <c r="M48" i="21"/>
  <c r="N48" i="21"/>
  <c r="O48" i="21"/>
  <c r="D15" i="4"/>
  <c r="D14" i="4"/>
  <c r="F16" i="36"/>
  <c r="E16" i="36"/>
  <c r="I15" i="1" l="1"/>
  <c r="I13" i="1" s="1"/>
  <c r="Z16" i="1"/>
  <c r="Q18" i="23"/>
  <c r="AP17" i="13"/>
  <c r="AP16" i="13"/>
  <c r="AP15" i="13"/>
  <c r="AP14" i="13"/>
  <c r="AP13" i="13"/>
  <c r="E235" i="41" l="1"/>
  <c r="N35" i="43"/>
  <c r="N36" i="43"/>
  <c r="N37" i="43"/>
  <c r="N38" i="43"/>
  <c r="N39" i="43"/>
  <c r="N40" i="43"/>
  <c r="N41" i="43"/>
  <c r="N42" i="43"/>
  <c r="N43" i="43"/>
  <c r="N44" i="43"/>
  <c r="N45" i="43"/>
  <c r="N46" i="43"/>
  <c r="N47" i="43"/>
  <c r="N48" i="43"/>
  <c r="N49" i="43"/>
  <c r="N50" i="43"/>
  <c r="N51" i="43"/>
  <c r="N52" i="43"/>
  <c r="N53" i="43"/>
  <c r="N54" i="43"/>
  <c r="N55" i="43"/>
  <c r="N56" i="43"/>
  <c r="N57" i="43"/>
  <c r="N58" i="43"/>
  <c r="N34" i="43"/>
  <c r="N61" i="43" s="1"/>
  <c r="E234" i="41" s="1"/>
  <c r="N59" i="43" l="1"/>
  <c r="N66" i="43" s="1"/>
  <c r="E233" i="41"/>
  <c r="F233" i="41" s="1"/>
  <c r="C64" i="43"/>
  <c r="C61" i="43"/>
  <c r="M33" i="43"/>
  <c r="L33" i="43"/>
  <c r="K33" i="43"/>
  <c r="J33" i="4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Q58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35" i="23"/>
  <c r="Q19" i="23"/>
  <c r="Q20" i="23"/>
  <c r="Q21" i="23"/>
  <c r="Q22" i="23"/>
  <c r="Q23" i="23"/>
  <c r="Q24" i="23"/>
  <c r="Q25" i="23"/>
  <c r="Q26" i="23"/>
  <c r="Q27" i="23"/>
  <c r="Q28" i="23"/>
  <c r="P63" i="43"/>
  <c r="O63" i="43"/>
  <c r="N63" i="43"/>
  <c r="N65" i="43" s="1"/>
  <c r="M63" i="43"/>
  <c r="L63" i="43"/>
  <c r="K63" i="43"/>
  <c r="J63" i="43"/>
  <c r="I63" i="43"/>
  <c r="P60" i="43"/>
  <c r="O60" i="43"/>
  <c r="O62" i="43" s="1"/>
  <c r="N60" i="43"/>
  <c r="N62" i="43" s="1"/>
  <c r="M60" i="43"/>
  <c r="L60" i="43"/>
  <c r="K60" i="43"/>
  <c r="J60" i="43"/>
  <c r="I60" i="43"/>
  <c r="P59" i="43"/>
  <c r="O59" i="43"/>
  <c r="O66" i="43" s="1"/>
  <c r="M59" i="43"/>
  <c r="M66" i="43" s="1"/>
  <c r="L59" i="43"/>
  <c r="L66" i="43" s="1"/>
  <c r="K59" i="43"/>
  <c r="K66" i="43" s="1"/>
  <c r="J59" i="43"/>
  <c r="J66" i="43" s="1"/>
  <c r="I59" i="43"/>
  <c r="I66" i="43" s="1"/>
  <c r="N33" i="43"/>
  <c r="D9" i="43"/>
  <c r="P6" i="43"/>
  <c r="D3" i="43"/>
  <c r="D2" i="43"/>
  <c r="J24" i="3"/>
  <c r="J25" i="3"/>
  <c r="J26" i="3"/>
  <c r="J27" i="3"/>
  <c r="H16" i="37"/>
  <c r="H55" i="37" l="1"/>
  <c r="P66" i="43"/>
  <c r="H56" i="37"/>
  <c r="H58" i="37"/>
  <c r="G55" i="37"/>
  <c r="M65" i="43"/>
  <c r="F52" i="41" s="1"/>
  <c r="K62" i="43"/>
  <c r="J62" i="43"/>
  <c r="L65" i="43"/>
  <c r="L62" i="43"/>
  <c r="M62" i="43"/>
  <c r="F32" i="41" s="1"/>
  <c r="J65" i="43"/>
  <c r="P65" i="43"/>
  <c r="I62" i="43"/>
  <c r="R59" i="43"/>
  <c r="P62" i="43"/>
  <c r="K65" i="43"/>
  <c r="O65" i="43"/>
  <c r="I65" i="43"/>
  <c r="R63" i="43"/>
  <c r="R60" i="43"/>
  <c r="H57" i="37" l="1"/>
  <c r="G56" i="27"/>
  <c r="H101" i="27"/>
  <c r="G101" i="27"/>
  <c r="H56" i="27"/>
  <c r="H53" i="14"/>
  <c r="G53" i="14"/>
  <c r="F53" i="14"/>
  <c r="E53" i="14"/>
  <c r="H23" i="37" l="1"/>
  <c r="F14" i="37"/>
  <c r="F174" i="41" l="1"/>
  <c r="F46" i="14" l="1"/>
  <c r="F43" i="14" s="1"/>
  <c r="G46" i="14"/>
  <c r="H46" i="14"/>
  <c r="E36" i="14"/>
  <c r="E46" i="14"/>
  <c r="E43" i="14" s="1"/>
  <c r="H32" i="14"/>
  <c r="G32" i="14"/>
  <c r="F32" i="14"/>
  <c r="F29" i="14" s="1"/>
  <c r="E32" i="14"/>
  <c r="E29" i="14" s="1"/>
  <c r="H36" i="14"/>
  <c r="G36" i="14"/>
  <c r="F36" i="14"/>
  <c r="F51" i="14"/>
  <c r="F18" i="14"/>
  <c r="F17" i="14" s="1"/>
  <c r="F16" i="14" s="1"/>
  <c r="H14" i="14"/>
  <c r="G14" i="14"/>
  <c r="F14" i="14"/>
  <c r="E14" i="14"/>
  <c r="H14" i="9"/>
  <c r="G14" i="9"/>
  <c r="F14" i="9"/>
  <c r="E14" i="9"/>
  <c r="F16" i="9"/>
  <c r="F28" i="9"/>
  <c r="F25" i="9" s="1"/>
  <c r="F14" i="7"/>
  <c r="H14" i="7"/>
  <c r="G14" i="7"/>
  <c r="E14" i="7"/>
  <c r="F79" i="7"/>
  <c r="F71" i="7"/>
  <c r="F50" i="7"/>
  <c r="F47" i="7"/>
  <c r="F35" i="7"/>
  <c r="F23" i="7"/>
  <c r="F16" i="7"/>
  <c r="AG48" i="3"/>
  <c r="H24" i="37" s="1"/>
  <c r="AG17" i="3"/>
  <c r="H22" i="37" s="1"/>
  <c r="F45" i="7" l="1"/>
  <c r="F36" i="9"/>
  <c r="E27" i="14"/>
  <c r="F81" i="7"/>
  <c r="F57" i="7"/>
  <c r="F41" i="14"/>
  <c r="F30" i="41"/>
  <c r="F27" i="14"/>
  <c r="F59" i="7" l="1"/>
  <c r="F62" i="7" s="1"/>
  <c r="F27" i="37" s="1"/>
  <c r="F58" i="14"/>
  <c r="F34" i="37" s="1"/>
  <c r="F35" i="37"/>
  <c r="F87" i="7" l="1"/>
  <c r="H28" i="9"/>
  <c r="H25" i="9" s="1"/>
  <c r="G28" i="9"/>
  <c r="G25" i="9" s="1"/>
  <c r="E28" i="9"/>
  <c r="E25" i="9" s="1"/>
  <c r="J77" i="39" l="1"/>
  <c r="E26" i="31" s="1"/>
  <c r="I77" i="39"/>
  <c r="H77" i="39"/>
  <c r="G77" i="39"/>
  <c r="I76" i="39"/>
  <c r="J76" i="39"/>
  <c r="E27" i="31" s="1"/>
  <c r="H76" i="39"/>
  <c r="G76" i="39"/>
  <c r="J75" i="39"/>
  <c r="I75" i="39"/>
  <c r="H75" i="39"/>
  <c r="G75" i="39"/>
  <c r="J47" i="39"/>
  <c r="M48" i="39"/>
  <c r="M47" i="39"/>
  <c r="N48" i="39"/>
  <c r="E30" i="31" s="1"/>
  <c r="N47" i="39"/>
  <c r="E31" i="31" s="1"/>
  <c r="N46" i="39"/>
  <c r="M46" i="39"/>
  <c r="J46" i="39"/>
  <c r="J48" i="39"/>
  <c r="G48" i="39"/>
  <c r="G47" i="39"/>
  <c r="G46" i="39"/>
  <c r="N45" i="39"/>
  <c r="M45" i="39"/>
  <c r="E29" i="31" l="1"/>
  <c r="G23" i="39"/>
  <c r="U54" i="39"/>
  <c r="U55" i="39"/>
  <c r="U56" i="39"/>
  <c r="U57" i="39"/>
  <c r="U58" i="39"/>
  <c r="U59" i="39"/>
  <c r="U60" i="39"/>
  <c r="U61" i="39"/>
  <c r="U62" i="39"/>
  <c r="U63" i="39"/>
  <c r="U64" i="39"/>
  <c r="U65" i="39"/>
  <c r="U66" i="39"/>
  <c r="U67" i="39"/>
  <c r="U68" i="39"/>
  <c r="U69" i="39"/>
  <c r="U70" i="39"/>
  <c r="U71" i="39"/>
  <c r="U72" i="39"/>
  <c r="J23" i="39"/>
  <c r="J24" i="39"/>
  <c r="J25" i="39"/>
  <c r="J26" i="39"/>
  <c r="J27" i="39"/>
  <c r="J28" i="39"/>
  <c r="J29" i="39"/>
  <c r="J30" i="39"/>
  <c r="J31" i="39"/>
  <c r="J32" i="39"/>
  <c r="J33" i="39"/>
  <c r="J34" i="39"/>
  <c r="J35" i="39"/>
  <c r="G24" i="39"/>
  <c r="G25" i="39"/>
  <c r="G26" i="39"/>
  <c r="G27" i="39"/>
  <c r="U27" i="39" s="1"/>
  <c r="G28" i="39"/>
  <c r="U28" i="39" s="1"/>
  <c r="G29" i="39"/>
  <c r="U29" i="39" s="1"/>
  <c r="G30" i="39"/>
  <c r="G31" i="39"/>
  <c r="G32" i="39"/>
  <c r="G33" i="39"/>
  <c r="G34" i="39"/>
  <c r="G35" i="39"/>
  <c r="U25" i="39" l="1"/>
  <c r="U24" i="39"/>
  <c r="U33" i="39"/>
  <c r="U32" i="39"/>
  <c r="U35" i="39"/>
  <c r="U34" i="39"/>
  <c r="U31" i="39"/>
  <c r="U30" i="39"/>
  <c r="U26" i="39"/>
  <c r="U23" i="39"/>
  <c r="J89" i="39"/>
  <c r="I89" i="39"/>
  <c r="H89" i="39"/>
  <c r="G89" i="39"/>
  <c r="U84" i="39" l="1"/>
  <c r="U85" i="39"/>
  <c r="U86" i="39"/>
  <c r="U87" i="39"/>
  <c r="U83" i="39"/>
  <c r="U53" i="39"/>
  <c r="Q6" i="39"/>
  <c r="E28" i="31" l="1"/>
  <c r="X82" i="39" l="1"/>
  <c r="W82" i="39"/>
  <c r="X52" i="39"/>
  <c r="W52" i="39"/>
  <c r="X17" i="39"/>
  <c r="W17" i="39"/>
  <c r="C12" i="34" l="1"/>
  <c r="C12" i="41"/>
  <c r="C12" i="42" l="1"/>
  <c r="C13" i="29"/>
  <c r="L28" i="23" l="1"/>
  <c r="M28" i="23"/>
  <c r="H53" i="41" l="1"/>
  <c r="G49" i="41"/>
  <c r="E49" i="41"/>
  <c r="S50" i="23"/>
  <c r="S51" i="23" s="1"/>
  <c r="R50" i="23"/>
  <c r="R51" i="23" s="1"/>
  <c r="P50" i="23"/>
  <c r="O50" i="23"/>
  <c r="F189" i="41" s="1"/>
  <c r="N50" i="23"/>
  <c r="N51" i="23" s="1"/>
  <c r="F138" i="41" s="1"/>
  <c r="M50" i="23"/>
  <c r="M51" i="23" s="1"/>
  <c r="L50" i="23"/>
  <c r="L51" i="23" s="1"/>
  <c r="K50" i="23"/>
  <c r="K51" i="23" s="1"/>
  <c r="Q34" i="23"/>
  <c r="P34" i="23"/>
  <c r="O34" i="23"/>
  <c r="N34" i="23"/>
  <c r="M34" i="23"/>
  <c r="L34" i="23"/>
  <c r="H52" i="41"/>
  <c r="O51" i="23" l="1"/>
  <c r="H64" i="37"/>
  <c r="G64" i="37"/>
  <c r="H65" i="37"/>
  <c r="Q50" i="23"/>
  <c r="Q51" i="23" l="1"/>
  <c r="H69" i="37"/>
  <c r="J74" i="39"/>
  <c r="E25" i="31" s="1"/>
  <c r="I74" i="39"/>
  <c r="H74" i="39"/>
  <c r="H54" i="37" s="1"/>
  <c r="G74" i="39"/>
  <c r="J25" i="42" l="1"/>
  <c r="J26" i="42"/>
  <c r="J27" i="42"/>
  <c r="J24" i="42"/>
  <c r="J16" i="42"/>
  <c r="J17" i="42"/>
  <c r="J18" i="42"/>
  <c r="J15" i="42"/>
  <c r="F19" i="42"/>
  <c r="G19" i="42"/>
  <c r="H19" i="42"/>
  <c r="I19" i="42"/>
  <c r="E19" i="42"/>
  <c r="G72" i="37" s="1"/>
  <c r="E28" i="42"/>
  <c r="G73" i="37" s="1"/>
  <c r="F28" i="42"/>
  <c r="G28" i="42"/>
  <c r="H28" i="42"/>
  <c r="I28" i="42"/>
  <c r="J14" i="42"/>
  <c r="J23" i="42"/>
  <c r="E23" i="42"/>
  <c r="E14" i="42"/>
  <c r="D9" i="42"/>
  <c r="K6" i="42"/>
  <c r="D3" i="42"/>
  <c r="D2" i="42"/>
  <c r="E42" i="29" l="1"/>
  <c r="J19" i="42"/>
  <c r="H72" i="37" s="1"/>
  <c r="J28" i="42"/>
  <c r="H73" i="37" s="1"/>
  <c r="E41" i="29"/>
  <c r="E38" i="29"/>
  <c r="E35" i="29"/>
  <c r="G35" i="7"/>
  <c r="H35" i="7"/>
  <c r="E35" i="7"/>
  <c r="N31" i="15"/>
  <c r="N20" i="15"/>
  <c r="E37" i="29"/>
  <c r="E36" i="29"/>
  <c r="G50" i="7"/>
  <c r="H50" i="7"/>
  <c r="E50" i="7"/>
  <c r="E25" i="29"/>
  <c r="E26" i="29"/>
  <c r="G47" i="7"/>
  <c r="H47" i="7"/>
  <c r="E47" i="7"/>
  <c r="G57" i="7" l="1"/>
  <c r="E57" i="7"/>
  <c r="H57" i="7"/>
  <c r="E24" i="31"/>
  <c r="E65" i="36"/>
  <c r="E155" i="41" s="1"/>
  <c r="E61" i="36"/>
  <c r="E56" i="36"/>
  <c r="E83" i="41" s="1"/>
  <c r="E52" i="36"/>
  <c r="D3" i="41"/>
  <c r="D2" i="41"/>
  <c r="D3" i="34"/>
  <c r="D2" i="34"/>
  <c r="D3" i="31"/>
  <c r="D2" i="31"/>
  <c r="D3" i="29"/>
  <c r="D2" i="29"/>
  <c r="E3" i="28"/>
  <c r="E2" i="28"/>
  <c r="D3" i="27"/>
  <c r="D2" i="27"/>
  <c r="E3" i="25"/>
  <c r="E2" i="25"/>
  <c r="D3" i="21"/>
  <c r="D2" i="21"/>
  <c r="D3" i="20"/>
  <c r="D2" i="20"/>
  <c r="D3" i="23"/>
  <c r="D2" i="23"/>
  <c r="D3" i="39"/>
  <c r="D2" i="39"/>
  <c r="D3" i="17"/>
  <c r="D2" i="17"/>
  <c r="D3" i="15"/>
  <c r="D2" i="15"/>
  <c r="D3" i="13"/>
  <c r="D2" i="13"/>
  <c r="D3" i="14"/>
  <c r="D2" i="14"/>
  <c r="D3" i="9"/>
  <c r="D2" i="9"/>
  <c r="D3" i="36"/>
  <c r="D2" i="36"/>
  <c r="D3" i="7"/>
  <c r="D2" i="7"/>
  <c r="D3" i="3"/>
  <c r="D2" i="3"/>
  <c r="E23" i="31" l="1"/>
  <c r="E51" i="36"/>
  <c r="E26" i="41"/>
  <c r="H26" i="41" s="1"/>
  <c r="E60" i="36"/>
  <c r="E101" i="41"/>
  <c r="H101" i="41" s="1"/>
  <c r="E28" i="29"/>
  <c r="H155" i="41"/>
  <c r="E39" i="29"/>
  <c r="G164" i="41"/>
  <c r="G173" i="41"/>
  <c r="G180" i="41"/>
  <c r="G190" i="41"/>
  <c r="F18" i="41"/>
  <c r="G18" i="41"/>
  <c r="H27" i="41"/>
  <c r="H28" i="41"/>
  <c r="H29" i="41"/>
  <c r="E34" i="29"/>
  <c r="F192" i="41"/>
  <c r="E16" i="7"/>
  <c r="E23" i="7"/>
  <c r="E71" i="7"/>
  <c r="E79" i="7"/>
  <c r="H16" i="7"/>
  <c r="H23" i="7"/>
  <c r="H71" i="7"/>
  <c r="H79" i="7"/>
  <c r="G16" i="7"/>
  <c r="G23" i="7"/>
  <c r="G71" i="7"/>
  <c r="G79" i="7"/>
  <c r="E23" i="29"/>
  <c r="E22" i="29"/>
  <c r="G171" i="41"/>
  <c r="F175" i="41"/>
  <c r="F176" i="41"/>
  <c r="F177" i="41"/>
  <c r="F178" i="41"/>
  <c r="F179" i="41"/>
  <c r="F191" i="41"/>
  <c r="F194" i="41"/>
  <c r="G194" i="41"/>
  <c r="E19" i="41"/>
  <c r="E24" i="41"/>
  <c r="H24" i="41" s="1"/>
  <c r="E25" i="41"/>
  <c r="H25" i="41" s="1"/>
  <c r="E31" i="41"/>
  <c r="H31" i="41" s="1"/>
  <c r="E37" i="41"/>
  <c r="H37" i="41" s="1"/>
  <c r="E36" i="41"/>
  <c r="H36" i="41" s="1"/>
  <c r="E77" i="41"/>
  <c r="E78" i="41"/>
  <c r="H78" i="41" s="1"/>
  <c r="E79" i="41"/>
  <c r="H79" i="41" s="1"/>
  <c r="E80" i="41"/>
  <c r="H80" i="41" s="1"/>
  <c r="E81" i="41"/>
  <c r="H81" i="41" s="1"/>
  <c r="E82" i="41"/>
  <c r="H82" i="41" s="1"/>
  <c r="H83" i="41"/>
  <c r="H84" i="41"/>
  <c r="E97" i="41"/>
  <c r="E98" i="41"/>
  <c r="H98" i="41" s="1"/>
  <c r="E99" i="41"/>
  <c r="H99" i="41" s="1"/>
  <c r="E105" i="41"/>
  <c r="H105" i="41" s="1"/>
  <c r="E151" i="41"/>
  <c r="E152" i="41"/>
  <c r="H152" i="41" s="1"/>
  <c r="E153" i="41"/>
  <c r="H153" i="41" s="1"/>
  <c r="E154" i="41"/>
  <c r="H154" i="41" s="1"/>
  <c r="E156" i="41"/>
  <c r="H156" i="41" s="1"/>
  <c r="Q57" i="23"/>
  <c r="P57" i="23"/>
  <c r="O57" i="23"/>
  <c r="N57" i="23"/>
  <c r="M57" i="23"/>
  <c r="L57" i="23"/>
  <c r="J40" i="39"/>
  <c r="J36" i="39"/>
  <c r="J37" i="39"/>
  <c r="J38" i="39"/>
  <c r="J39" i="39"/>
  <c r="J22" i="39"/>
  <c r="J21" i="39"/>
  <c r="J45" i="39" s="1"/>
  <c r="G40" i="39"/>
  <c r="G36" i="39"/>
  <c r="G37" i="39"/>
  <c r="G38" i="39"/>
  <c r="G39" i="39"/>
  <c r="G22" i="39"/>
  <c r="G21" i="39"/>
  <c r="G45" i="39" s="1"/>
  <c r="E163" i="41"/>
  <c r="E23" i="41"/>
  <c r="H23" i="41" s="1"/>
  <c r="E22" i="41"/>
  <c r="H22" i="41" s="1"/>
  <c r="E21" i="41"/>
  <c r="H21" i="41" s="1"/>
  <c r="E20" i="41"/>
  <c r="H20" i="41" s="1"/>
  <c r="E56" i="41"/>
  <c r="E63" i="41"/>
  <c r="E45" i="41"/>
  <c r="E54" i="41" s="1"/>
  <c r="E116" i="41"/>
  <c r="E121" i="41"/>
  <c r="E127" i="41"/>
  <c r="E134" i="41"/>
  <c r="E18" i="14"/>
  <c r="E17" i="14" s="1"/>
  <c r="E16" i="14" s="1"/>
  <c r="E51" i="14"/>
  <c r="H43" i="14"/>
  <c r="G43" i="14"/>
  <c r="H18" i="14"/>
  <c r="H17" i="14" s="1"/>
  <c r="H16" i="14" s="1"/>
  <c r="H29" i="14"/>
  <c r="H27" i="14" s="1"/>
  <c r="H51" i="14"/>
  <c r="G18" i="14"/>
  <c r="G17" i="14" s="1"/>
  <c r="G29" i="14"/>
  <c r="G27" i="14" s="1"/>
  <c r="G51" i="14"/>
  <c r="H16" i="9"/>
  <c r="G16" i="9"/>
  <c r="E16" i="9"/>
  <c r="D9" i="41"/>
  <c r="H6" i="41"/>
  <c r="R73" i="23"/>
  <c r="H67" i="37" s="1"/>
  <c r="S73" i="23"/>
  <c r="H66" i="37" s="1"/>
  <c r="K73" i="23"/>
  <c r="S28" i="23"/>
  <c r="H62" i="37" s="1"/>
  <c r="R28" i="23"/>
  <c r="P28" i="23"/>
  <c r="O28" i="23"/>
  <c r="N28" i="23"/>
  <c r="F135" i="41" s="1"/>
  <c r="F64" i="41"/>
  <c r="G62" i="37"/>
  <c r="K28" i="23"/>
  <c r="K41" i="39"/>
  <c r="L41" i="39"/>
  <c r="H41" i="39"/>
  <c r="I41" i="39"/>
  <c r="I44" i="39" s="1"/>
  <c r="J43" i="39"/>
  <c r="H51" i="37" s="1"/>
  <c r="G43" i="39"/>
  <c r="G51" i="37" s="1"/>
  <c r="N41" i="39"/>
  <c r="E225" i="41" s="1"/>
  <c r="M41" i="39"/>
  <c r="K16" i="39"/>
  <c r="H16" i="39"/>
  <c r="H67" i="41"/>
  <c r="H88" i="39"/>
  <c r="E92" i="36"/>
  <c r="E44" i="29" s="1"/>
  <c r="J44" i="29" s="1"/>
  <c r="H32" i="41"/>
  <c r="H33" i="41"/>
  <c r="H34" i="41"/>
  <c r="H38" i="41"/>
  <c r="H39" i="41"/>
  <c r="H40" i="41"/>
  <c r="H41" i="41"/>
  <c r="H42" i="41"/>
  <c r="H16" i="41"/>
  <c r="E16" i="34" s="1"/>
  <c r="H17" i="41"/>
  <c r="E17" i="34" s="1"/>
  <c r="K31" i="15"/>
  <c r="F46" i="41" s="1"/>
  <c r="H47" i="41"/>
  <c r="H48" i="41"/>
  <c r="H97" i="39"/>
  <c r="E29" i="29" s="1"/>
  <c r="H34" i="17"/>
  <c r="F58" i="41" s="1"/>
  <c r="H58" i="41" s="1"/>
  <c r="H25" i="17"/>
  <c r="F57" i="41" s="1"/>
  <c r="H49" i="17"/>
  <c r="F59" i="41" s="1"/>
  <c r="H59" i="41" s="1"/>
  <c r="H58" i="17"/>
  <c r="F60" i="41" s="1"/>
  <c r="H60" i="41" s="1"/>
  <c r="H61" i="41"/>
  <c r="H62" i="41"/>
  <c r="H65" i="41"/>
  <c r="H66" i="41"/>
  <c r="M73" i="23"/>
  <c r="F68" i="41" s="1"/>
  <c r="H68" i="41" s="1"/>
  <c r="H69" i="41"/>
  <c r="H70" i="41"/>
  <c r="H71" i="41"/>
  <c r="H100" i="41"/>
  <c r="H103" i="41"/>
  <c r="H93" i="41"/>
  <c r="H94" i="41"/>
  <c r="H95" i="41"/>
  <c r="H106" i="41"/>
  <c r="H107" i="41"/>
  <c r="H108" i="41"/>
  <c r="H109" i="41"/>
  <c r="H112" i="41"/>
  <c r="H113" i="41"/>
  <c r="H123" i="41"/>
  <c r="H124" i="41"/>
  <c r="F31" i="15"/>
  <c r="H31" i="15"/>
  <c r="F118" i="41" s="1"/>
  <c r="H118" i="41" s="1"/>
  <c r="H119" i="41"/>
  <c r="H120" i="41"/>
  <c r="G34" i="17"/>
  <c r="F129" i="41" s="1"/>
  <c r="H129" i="41" s="1"/>
  <c r="G25" i="17"/>
  <c r="F128" i="41" s="1"/>
  <c r="G49" i="17"/>
  <c r="F130" i="41" s="1"/>
  <c r="H130" i="41" s="1"/>
  <c r="G58" i="17"/>
  <c r="F131" i="41" s="1"/>
  <c r="H131" i="41" s="1"/>
  <c r="H132" i="41"/>
  <c r="H133" i="41"/>
  <c r="H138" i="41"/>
  <c r="H136" i="41"/>
  <c r="H137" i="41"/>
  <c r="N73" i="23"/>
  <c r="H140" i="41"/>
  <c r="H141" i="41"/>
  <c r="H142" i="41"/>
  <c r="H157" i="41"/>
  <c r="G31" i="15"/>
  <c r="F167" i="41" s="1"/>
  <c r="I31" i="15"/>
  <c r="H42" i="37" s="1"/>
  <c r="J31" i="15"/>
  <c r="F169" i="41" s="1"/>
  <c r="L31" i="15"/>
  <c r="F170" i="41" s="1"/>
  <c r="I34" i="17"/>
  <c r="I25" i="17"/>
  <c r="I49" i="17"/>
  <c r="I58" i="17"/>
  <c r="F91" i="41"/>
  <c r="F96" i="41"/>
  <c r="F104" i="41"/>
  <c r="F110" i="41"/>
  <c r="F150" i="41"/>
  <c r="F35" i="41"/>
  <c r="F76" i="41"/>
  <c r="G56" i="41"/>
  <c r="G63" i="41"/>
  <c r="G45" i="41"/>
  <c r="G30" i="41"/>
  <c r="G35" i="41"/>
  <c r="G76" i="41"/>
  <c r="G91" i="41"/>
  <c r="G96" i="41"/>
  <c r="G104" i="41"/>
  <c r="G110" i="41"/>
  <c r="G116" i="41"/>
  <c r="G121" i="41"/>
  <c r="G127" i="41"/>
  <c r="G134" i="41"/>
  <c r="G150" i="41"/>
  <c r="H73" i="39"/>
  <c r="H60" i="37" s="1"/>
  <c r="P73" i="23"/>
  <c r="O73" i="23"/>
  <c r="L73" i="23"/>
  <c r="G66" i="37" s="1"/>
  <c r="G88" i="39"/>
  <c r="G73" i="39"/>
  <c r="G19" i="39"/>
  <c r="J17" i="39"/>
  <c r="G17" i="39"/>
  <c r="K113" i="39"/>
  <c r="G113" i="39"/>
  <c r="G97" i="39"/>
  <c r="H92" i="39"/>
  <c r="G92" i="39"/>
  <c r="J88" i="39"/>
  <c r="E227" i="41" s="1"/>
  <c r="I88" i="39"/>
  <c r="J82" i="39"/>
  <c r="I82" i="39"/>
  <c r="H82" i="39"/>
  <c r="G82" i="39"/>
  <c r="J73" i="39"/>
  <c r="E226" i="41" s="1"/>
  <c r="I73" i="39"/>
  <c r="J52" i="39"/>
  <c r="I52" i="39"/>
  <c r="H52" i="39"/>
  <c r="G52" i="39"/>
  <c r="N17" i="39"/>
  <c r="M17" i="39"/>
  <c r="D9" i="39"/>
  <c r="J39" i="25"/>
  <c r="J40" i="25"/>
  <c r="J41" i="25"/>
  <c r="J42" i="25"/>
  <c r="J43" i="25"/>
  <c r="J44" i="25"/>
  <c r="F53" i="25"/>
  <c r="J51" i="17"/>
  <c r="J52" i="17"/>
  <c r="J53" i="17"/>
  <c r="J54" i="17"/>
  <c r="J55" i="17"/>
  <c r="J56" i="17"/>
  <c r="J57" i="17"/>
  <c r="J27" i="17"/>
  <c r="J28" i="17"/>
  <c r="J29" i="17"/>
  <c r="J30" i="17"/>
  <c r="J31" i="17"/>
  <c r="J32" i="17"/>
  <c r="J33" i="17"/>
  <c r="J42" i="17"/>
  <c r="J43" i="17"/>
  <c r="J44" i="17"/>
  <c r="J45" i="17"/>
  <c r="J46" i="17"/>
  <c r="J47" i="17"/>
  <c r="J48" i="17"/>
  <c r="J18" i="17"/>
  <c r="J19" i="17"/>
  <c r="J20" i="17"/>
  <c r="J21" i="17"/>
  <c r="J22" i="17"/>
  <c r="J23" i="17"/>
  <c r="J24" i="17"/>
  <c r="M18" i="15"/>
  <c r="M19" i="15"/>
  <c r="E30" i="15" s="1"/>
  <c r="M30" i="15" s="1"/>
  <c r="O31" i="3"/>
  <c r="Q17" i="23"/>
  <c r="P17" i="23"/>
  <c r="O17" i="23"/>
  <c r="N17" i="23"/>
  <c r="M17" i="23"/>
  <c r="L17" i="23"/>
  <c r="I46" i="13"/>
  <c r="E91" i="36"/>
  <c r="I31" i="3"/>
  <c r="I15" i="3"/>
  <c r="O15" i="3"/>
  <c r="K46" i="13"/>
  <c r="G46" i="13"/>
  <c r="H46" i="13"/>
  <c r="J46" i="13"/>
  <c r="L46" i="13"/>
  <c r="M46" i="13"/>
  <c r="E34" i="36"/>
  <c r="E33" i="36" s="1"/>
  <c r="E18" i="31" s="1"/>
  <c r="I20" i="15"/>
  <c r="G42" i="37" s="1"/>
  <c r="M22" i="15"/>
  <c r="M17" i="15"/>
  <c r="E28" i="15" s="1"/>
  <c r="M28" i="15" s="1"/>
  <c r="M16" i="15"/>
  <c r="M15" i="15"/>
  <c r="G38" i="37" s="1"/>
  <c r="E81" i="36"/>
  <c r="E77" i="36"/>
  <c r="H30" i="37" s="1"/>
  <c r="E21" i="36"/>
  <c r="E20" i="36" s="1"/>
  <c r="E17" i="31" s="1"/>
  <c r="E21" i="31"/>
  <c r="F21" i="36"/>
  <c r="F20" i="36" s="1"/>
  <c r="F34" i="36"/>
  <c r="F33" i="36" s="1"/>
  <c r="E33" i="31"/>
  <c r="E76" i="36"/>
  <c r="F46" i="13"/>
  <c r="E46" i="13"/>
  <c r="E14" i="37"/>
  <c r="G14" i="37"/>
  <c r="H14" i="37"/>
  <c r="D9" i="37"/>
  <c r="H6" i="37"/>
  <c r="E71" i="36"/>
  <c r="E50" i="36"/>
  <c r="D9" i="36"/>
  <c r="G6" i="36"/>
  <c r="D9" i="34"/>
  <c r="E6" i="34"/>
  <c r="D9" i="31"/>
  <c r="F6" i="31"/>
  <c r="E18" i="29"/>
  <c r="D9" i="29"/>
  <c r="G6" i="29"/>
  <c r="G33" i="28"/>
  <c r="F33" i="28"/>
  <c r="G16" i="28"/>
  <c r="E9" i="28"/>
  <c r="H6" i="28"/>
  <c r="D9" i="27"/>
  <c r="H6" i="27"/>
  <c r="E45" i="25"/>
  <c r="F30" i="25" s="1"/>
  <c r="I45" i="25"/>
  <c r="H45" i="25"/>
  <c r="G45" i="25"/>
  <c r="F45" i="25"/>
  <c r="C28" i="25"/>
  <c r="E9" i="25"/>
  <c r="J6" i="25"/>
  <c r="D9" i="23"/>
  <c r="S6" i="23"/>
  <c r="D9" i="21"/>
  <c r="O6" i="21"/>
  <c r="D9" i="20"/>
  <c r="I6" i="20"/>
  <c r="L58" i="17"/>
  <c r="F58" i="17"/>
  <c r="L49" i="17"/>
  <c r="F49" i="17"/>
  <c r="L40" i="17"/>
  <c r="J40" i="17"/>
  <c r="F40" i="17"/>
  <c r="L34" i="17"/>
  <c r="F34" i="17"/>
  <c r="L25" i="17"/>
  <c r="F25" i="17"/>
  <c r="L16" i="17"/>
  <c r="J16" i="17"/>
  <c r="F16" i="17"/>
  <c r="D9" i="17"/>
  <c r="M6" i="17"/>
  <c r="L20" i="15"/>
  <c r="K20" i="15"/>
  <c r="J20" i="15"/>
  <c r="H20" i="15"/>
  <c r="G20" i="15"/>
  <c r="F20" i="15"/>
  <c r="E20" i="15"/>
  <c r="M25" i="15"/>
  <c r="E25" i="15"/>
  <c r="D25" i="15"/>
  <c r="D14" i="15"/>
  <c r="M14" i="15"/>
  <c r="E14" i="15"/>
  <c r="D9" i="15"/>
  <c r="O6" i="15"/>
  <c r="D9" i="14"/>
  <c r="H6" i="14"/>
  <c r="R46" i="13"/>
  <c r="Q46" i="13"/>
  <c r="P46" i="13"/>
  <c r="O46" i="13"/>
  <c r="N46" i="13"/>
  <c r="Q13" i="13"/>
  <c r="Q15" i="13"/>
  <c r="P15" i="13"/>
  <c r="O15" i="13"/>
  <c r="N15" i="13"/>
  <c r="L15" i="13"/>
  <c r="K15" i="13"/>
  <c r="J15" i="13"/>
  <c r="I15" i="13"/>
  <c r="H15" i="13"/>
  <c r="D9" i="13"/>
  <c r="R6" i="13"/>
  <c r="D9" i="9"/>
  <c r="H6" i="9"/>
  <c r="D9" i="7"/>
  <c r="H6" i="7"/>
  <c r="P6" i="3"/>
  <c r="D9" i="3"/>
  <c r="M6" i="4"/>
  <c r="G16" i="14" l="1"/>
  <c r="G39" i="37"/>
  <c r="E26" i="15"/>
  <c r="M26" i="15" s="1"/>
  <c r="H38" i="37" s="1"/>
  <c r="F180" i="41"/>
  <c r="G81" i="7"/>
  <c r="G40" i="37"/>
  <c r="F139" i="41"/>
  <c r="H139" i="41" s="1"/>
  <c r="E96" i="41"/>
  <c r="G45" i="7"/>
  <c r="G59" i="7" s="1"/>
  <c r="G62" i="7" s="1"/>
  <c r="H45" i="7"/>
  <c r="H59" i="7" s="1"/>
  <c r="H62" i="7" s="1"/>
  <c r="H26" i="37" s="1"/>
  <c r="E45" i="7"/>
  <c r="E59" i="7" s="1"/>
  <c r="E62" i="7" s="1"/>
  <c r="H53" i="37"/>
  <c r="H194" i="41"/>
  <c r="H63" i="37"/>
  <c r="H68" i="37"/>
  <c r="U22" i="39"/>
  <c r="E228" i="41"/>
  <c r="H35" i="37"/>
  <c r="E36" i="9"/>
  <c r="E35" i="37"/>
  <c r="G163" i="41"/>
  <c r="L19" i="39"/>
  <c r="L44" i="39" s="1"/>
  <c r="H50" i="37" s="1"/>
  <c r="G50" i="37"/>
  <c r="H52" i="37"/>
  <c r="H43" i="37"/>
  <c r="M20" i="15"/>
  <c r="F173" i="41"/>
  <c r="H173" i="41" s="1"/>
  <c r="E111" i="41"/>
  <c r="H111" i="41" s="1"/>
  <c r="H110" i="41" s="1"/>
  <c r="E43" i="34" s="1"/>
  <c r="E33" i="29"/>
  <c r="H30" i="41"/>
  <c r="E231" i="41" s="1"/>
  <c r="G41" i="14"/>
  <c r="E24" i="29"/>
  <c r="H76" i="37"/>
  <c r="E30" i="29"/>
  <c r="H75" i="37"/>
  <c r="I28" i="31"/>
  <c r="J58" i="17"/>
  <c r="H41" i="14"/>
  <c r="H58" i="14" s="1"/>
  <c r="H37" i="37"/>
  <c r="J49" i="17"/>
  <c r="E27" i="15"/>
  <c r="M27" i="15" s="1"/>
  <c r="H39" i="37" s="1"/>
  <c r="G52" i="37"/>
  <c r="F122" i="41"/>
  <c r="F121" i="41" s="1"/>
  <c r="E81" i="7"/>
  <c r="U36" i="39"/>
  <c r="U38" i="39"/>
  <c r="J41" i="39"/>
  <c r="U39" i="39"/>
  <c r="U37" i="39"/>
  <c r="U21" i="39"/>
  <c r="U40" i="39"/>
  <c r="G46" i="37"/>
  <c r="G45" i="37"/>
  <c r="J34" i="17"/>
  <c r="J25" i="17"/>
  <c r="H45" i="37" s="1"/>
  <c r="G36" i="9"/>
  <c r="H36" i="9"/>
  <c r="Q73" i="23"/>
  <c r="H70" i="37" s="1"/>
  <c r="F117" i="41"/>
  <c r="H117" i="41" s="1"/>
  <c r="H116" i="41" s="1"/>
  <c r="E40" i="29"/>
  <c r="E41" i="14"/>
  <c r="E58" i="14" s="1"/>
  <c r="G72" i="41"/>
  <c r="F114" i="41"/>
  <c r="F172" i="41"/>
  <c r="F171" i="41" s="1"/>
  <c r="H171" i="41" s="1"/>
  <c r="E21" i="29"/>
  <c r="E29" i="15"/>
  <c r="E72" i="41"/>
  <c r="H81" i="7"/>
  <c r="E104" i="41"/>
  <c r="E150" i="41"/>
  <c r="F32" i="36"/>
  <c r="F47" i="36" s="1"/>
  <c r="H32" i="37"/>
  <c r="H97" i="41"/>
  <c r="H96" i="41" s="1"/>
  <c r="E41" i="34" s="1"/>
  <c r="H151" i="41"/>
  <c r="H150" i="41" s="1"/>
  <c r="H77" i="41"/>
  <c r="H76" i="41" s="1"/>
  <c r="E33" i="34" s="1"/>
  <c r="E76" i="41"/>
  <c r="E18" i="41"/>
  <c r="G41" i="39"/>
  <c r="G48" i="37" s="1"/>
  <c r="F51" i="41"/>
  <c r="H51" i="41" s="1"/>
  <c r="E30" i="41"/>
  <c r="F190" i="41"/>
  <c r="H190" i="41" s="1"/>
  <c r="G125" i="41"/>
  <c r="H104" i="41"/>
  <c r="E42" i="34" s="1"/>
  <c r="E125" i="41"/>
  <c r="G143" i="41"/>
  <c r="G114" i="41"/>
  <c r="E143" i="41"/>
  <c r="G54" i="41"/>
  <c r="H35" i="41"/>
  <c r="E20" i="34" s="1"/>
  <c r="G43" i="41"/>
  <c r="F43" i="41"/>
  <c r="E35" i="41"/>
  <c r="E33" i="15"/>
  <c r="M33" i="15" s="1"/>
  <c r="H41" i="37" s="1"/>
  <c r="G41" i="37"/>
  <c r="H128" i="41"/>
  <c r="H127" i="41" s="1"/>
  <c r="F127" i="41"/>
  <c r="H64" i="41"/>
  <c r="H63" i="41" s="1"/>
  <c r="E28" i="34" s="1"/>
  <c r="F63" i="41"/>
  <c r="J45" i="25"/>
  <c r="F31" i="25" s="1"/>
  <c r="H46" i="41"/>
  <c r="H45" i="41" s="1"/>
  <c r="F45" i="41"/>
  <c r="F134" i="41"/>
  <c r="H135" i="41"/>
  <c r="F56" i="41"/>
  <c r="H57" i="41"/>
  <c r="H56" i="41" s="1"/>
  <c r="H19" i="41"/>
  <c r="H18" i="41" s="1"/>
  <c r="E18" i="34" s="1"/>
  <c r="H44" i="39"/>
  <c r="K19" i="39" s="1"/>
  <c r="F168" i="41"/>
  <c r="F164" i="41" s="1"/>
  <c r="E56" i="34" l="1"/>
  <c r="G58" i="14"/>
  <c r="G34" i="37" s="1"/>
  <c r="G35" i="37"/>
  <c r="E34" i="37"/>
  <c r="H46" i="37"/>
  <c r="H134" i="41"/>
  <c r="E51" i="34" s="1"/>
  <c r="H31" i="37"/>
  <c r="E92" i="41"/>
  <c r="F50" i="41"/>
  <c r="H50" i="41" s="1"/>
  <c r="H49" i="41" s="1"/>
  <c r="H59" i="37"/>
  <c r="H180" i="41"/>
  <c r="E110" i="41"/>
  <c r="E32" i="36"/>
  <c r="E87" i="7"/>
  <c r="E19" i="34"/>
  <c r="E21" i="34" s="1"/>
  <c r="F116" i="41"/>
  <c r="F125" i="41" s="1"/>
  <c r="H122" i="41"/>
  <c r="H121" i="41" s="1"/>
  <c r="E47" i="34" s="1"/>
  <c r="H48" i="37"/>
  <c r="H34" i="37"/>
  <c r="G74" i="41"/>
  <c r="G86" i="41" s="1"/>
  <c r="F72" i="41"/>
  <c r="H87" i="7"/>
  <c r="H28" i="37" s="1"/>
  <c r="H27" i="37"/>
  <c r="E216" i="41"/>
  <c r="G27" i="37"/>
  <c r="G87" i="7"/>
  <c r="G28" i="37" s="1"/>
  <c r="M29" i="15"/>
  <c r="E31" i="15"/>
  <c r="E27" i="37"/>
  <c r="G145" i="41"/>
  <c r="G159" i="41" s="1"/>
  <c r="E43" i="41"/>
  <c r="E74" i="41" s="1"/>
  <c r="E86" i="41" s="1"/>
  <c r="E20" i="29"/>
  <c r="H164" i="41"/>
  <c r="F163" i="41"/>
  <c r="G49" i="37"/>
  <c r="G44" i="39"/>
  <c r="H43" i="41"/>
  <c r="E32" i="29"/>
  <c r="E16" i="31"/>
  <c r="E50" i="34"/>
  <c r="H72" i="41"/>
  <c r="E27" i="34"/>
  <c r="E29" i="34" s="1"/>
  <c r="E23" i="34"/>
  <c r="E46" i="34"/>
  <c r="F143" i="41"/>
  <c r="H143" i="41" l="1"/>
  <c r="E38" i="31"/>
  <c r="F16" i="31" s="1"/>
  <c r="E52" i="34"/>
  <c r="H92" i="41"/>
  <c r="H91" i="41" s="1"/>
  <c r="E91" i="41"/>
  <c r="E114" i="41" s="1"/>
  <c r="E145" i="41" s="1"/>
  <c r="E159" i="41" s="1"/>
  <c r="E161" i="41" s="1"/>
  <c r="E215" i="41" s="1"/>
  <c r="E217" i="41" s="1"/>
  <c r="F49" i="41"/>
  <c r="F54" i="41" s="1"/>
  <c r="F74" i="41" s="1"/>
  <c r="F86" i="41" s="1"/>
  <c r="H163" i="41"/>
  <c r="E220" i="41" s="1"/>
  <c r="E47" i="36"/>
  <c r="H29" i="37" s="1"/>
  <c r="H125" i="41"/>
  <c r="E48" i="34"/>
  <c r="E24" i="34"/>
  <c r="E25" i="34" s="1"/>
  <c r="E31" i="34" s="1"/>
  <c r="E35" i="34" s="1"/>
  <c r="E232" i="41"/>
  <c r="E236" i="41" s="1"/>
  <c r="G147" i="41"/>
  <c r="H54" i="41"/>
  <c r="H40" i="37"/>
  <c r="M31" i="15"/>
  <c r="G161" i="41"/>
  <c r="E46" i="29"/>
  <c r="F145" i="41"/>
  <c r="F159" i="41" s="1"/>
  <c r="J19" i="39"/>
  <c r="K44" i="39"/>
  <c r="F38" i="31" l="1"/>
  <c r="F36" i="31"/>
  <c r="F35" i="31"/>
  <c r="F34" i="31"/>
  <c r="F19" i="31"/>
  <c r="F31" i="31"/>
  <c r="F30" i="31"/>
  <c r="F27" i="31"/>
  <c r="F26" i="31"/>
  <c r="F29" i="31"/>
  <c r="F28" i="31"/>
  <c r="F25" i="31"/>
  <c r="F24" i="31"/>
  <c r="F33" i="31"/>
  <c r="F21" i="31"/>
  <c r="F17" i="31"/>
  <c r="F18" i="31"/>
  <c r="F23" i="31"/>
  <c r="E147" i="41"/>
  <c r="E62" i="34"/>
  <c r="E40" i="34"/>
  <c r="E44" i="34" s="1"/>
  <c r="E54" i="34" s="1"/>
  <c r="E58" i="34" s="1"/>
  <c r="E60" i="34" s="1"/>
  <c r="H114" i="41"/>
  <c r="H145" i="41" s="1"/>
  <c r="H159" i="41" s="1"/>
  <c r="H74" i="41"/>
  <c r="H86" i="41" s="1"/>
  <c r="F161" i="41"/>
  <c r="H78" i="37"/>
  <c r="F147" i="41"/>
  <c r="H49" i="37"/>
  <c r="J44" i="39"/>
  <c r="H161" i="41" l="1"/>
  <c r="E219" i="41" s="1"/>
  <c r="E221" i="41" s="1"/>
  <c r="E64" i="34"/>
  <c r="H147" i="41"/>
  <c r="E237" i="4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<sst xmlns="http://schemas.openxmlformats.org/spreadsheetml/2006/main" count="2101" uniqueCount="1146">
  <si>
    <t>Área de la Presidenta: Igualdad y Diversidad, Hacienda y Proyectos Estratégicos</t>
  </si>
  <si>
    <t>Dirección Insular de Hacienda</t>
  </si>
  <si>
    <t xml:space="preserve"> PRESUPUESTO GENERAL</t>
  </si>
  <si>
    <t xml:space="preserve"> PROGRAMA DE ACTUACIÓN, INVERSIONES Y FINANCIACIÓN (PAIF)</t>
  </si>
  <si>
    <t xml:space="preserve"> DATOS GENERALES E ÍNDICE</t>
  </si>
  <si>
    <t xml:space="preserve">  Entidad:</t>
  </si>
  <si>
    <t>Fundación Canaria TENERIFE RURAL</t>
  </si>
  <si>
    <t>EE_DD</t>
  </si>
  <si>
    <t>Clasificación_IGAE</t>
  </si>
  <si>
    <t>Participación ECIT</t>
  </si>
  <si>
    <t>Columna1</t>
  </si>
  <si>
    <t xml:space="preserve"> Clasificación IGAE:</t>
  </si>
  <si>
    <t>Administración Pública</t>
  </si>
  <si>
    <t>Entidad No Financiera</t>
  </si>
  <si>
    <t>(BIOAVANCE) Fundación Canaria para el Avance de la Biomedicina y la Biotecnología</t>
  </si>
  <si>
    <t>Íntegra</t>
  </si>
  <si>
    <t>35_</t>
  </si>
  <si>
    <t xml:space="preserve"> Participación ECIT:</t>
  </si>
  <si>
    <t>Mayoritaria / Minoritaria</t>
  </si>
  <si>
    <t>(FIFEDE) Fundación Canaria Insular para la Formación, el Empleo y el Desarrollo Empresarial</t>
  </si>
  <si>
    <t>36_</t>
  </si>
  <si>
    <t xml:space="preserve">  Ejercicio:</t>
  </si>
  <si>
    <t>Mayoritaria</t>
  </si>
  <si>
    <t>37_</t>
  </si>
  <si>
    <t>Fundación Canaria, Agencia Insular de la Energía</t>
  </si>
  <si>
    <t>38_</t>
  </si>
  <si>
    <t>ÍNDICE</t>
  </si>
  <si>
    <t>Datos generales e índice</t>
  </si>
  <si>
    <t>Check list</t>
  </si>
  <si>
    <t>Órganos de Gobierno</t>
  </si>
  <si>
    <t>Accionistas</t>
  </si>
  <si>
    <r>
      <t xml:space="preserve">Cuenta de </t>
    </r>
    <r>
      <rPr>
        <sz val="12"/>
        <color theme="1"/>
        <rFont val="Arial"/>
        <family val="2"/>
      </rPr>
      <t>Resultados</t>
    </r>
  </si>
  <si>
    <r>
      <t xml:space="preserve">Información adicional Cuenta de </t>
    </r>
    <r>
      <rPr>
        <sz val="12"/>
        <color theme="1"/>
        <rFont val="Arial"/>
        <family val="2"/>
      </rPr>
      <t>Resultados</t>
    </r>
  </si>
  <si>
    <t xml:space="preserve">Balance de Situación, Activo </t>
  </si>
  <si>
    <t>Balance de Situación, Pasivo y Patrimonio Neto</t>
  </si>
  <si>
    <t>Inversiones reales</t>
  </si>
  <si>
    <t>Inversiones no financieras</t>
  </si>
  <si>
    <t>Inversiones financieras</t>
  </si>
  <si>
    <t>Transferencias y subvenciones no reintegrables</t>
  </si>
  <si>
    <t>Transferencias y subvenciones reintegrables</t>
  </si>
  <si>
    <r>
      <t>Deuda a</t>
    </r>
    <r>
      <rPr>
        <sz val="12"/>
        <color theme="1"/>
        <rFont val="Arial"/>
        <family val="2"/>
      </rPr>
      <t xml:space="preserve"> corto y</t>
    </r>
    <r>
      <rPr>
        <sz val="12"/>
        <color theme="1"/>
        <rFont val="Arial"/>
        <family val="2"/>
      </rPr>
      <t xml:space="preserve"> largo plazo</t>
    </r>
  </si>
  <si>
    <t>Deuda viva y previsión de vencimientos de deuda</t>
  </si>
  <si>
    <t>Perfíl de vencimientos de deuda a 10 años</t>
  </si>
  <si>
    <t>Personal</t>
  </si>
  <si>
    <t>Operaciones internas</t>
  </si>
  <si>
    <t>Encargos de los poderes adjudicadores</t>
  </si>
  <si>
    <t>Estabilidad presupuestaria</t>
  </si>
  <si>
    <t>Información adicional PROVISIONES A LARGO Y A CORTO PLAZO</t>
  </si>
  <si>
    <t>Fuentes de financiación</t>
  </si>
  <si>
    <t>Presupuesto</t>
  </si>
  <si>
    <t>INSTRUCCIONES GENERALES</t>
  </si>
  <si>
    <r>
      <rPr>
        <b/>
        <sz val="12"/>
        <color theme="1"/>
        <rFont val="Arial"/>
        <family val="2"/>
      </rPr>
      <t>Todas los datos económicos deben expresarse en EUROS</t>
    </r>
    <r>
      <rPr>
        <sz val="12"/>
        <color theme="1"/>
        <rFont val="Arial"/>
        <family val="2"/>
      </rPr>
      <t>. No es válido introducir datos en miles de euros, ni millones de euros.</t>
    </r>
  </si>
  <si>
    <t>Cabildo Insular de Tenerife</t>
  </si>
  <si>
    <t>GENERAL</t>
  </si>
  <si>
    <t>Plaza de España, S/N</t>
  </si>
  <si>
    <t>38003 Santa Cruz de Tenerife</t>
  </si>
  <si>
    <t>Teléfono: 901 501 901</t>
  </si>
  <si>
    <t>www.tenerife.es</t>
  </si>
  <si>
    <t>º</t>
  </si>
  <si>
    <t xml:space="preserve"> ENTIDAD:</t>
  </si>
  <si>
    <t xml:space="preserve"> Listado de comprobaciones (CHECK LIST)</t>
  </si>
  <si>
    <t>CC.AA.  ( n-2 )</t>
  </si>
  <si>
    <t>PAIF Aprobado (n-1)</t>
  </si>
  <si>
    <t>Estimación cierre ( n-1 )</t>
  </si>
  <si>
    <t>Previsión PAIF ( n )</t>
  </si>
  <si>
    <r>
      <t xml:space="preserve">CHECK LIST   </t>
    </r>
    <r>
      <rPr>
        <b/>
        <sz val="12"/>
        <color rgb="FF0070C0"/>
        <rFont val="Arial"/>
        <family val="2"/>
      </rPr>
      <t>GENERAL y FC-1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ÓRGANOS DE GOBIERNO</t>
    </r>
  </si>
  <si>
    <t>En la hoja GENERAL, ¿se ha seleccionado el nombre de la Entidad Dependiente en el menu desplegable?</t>
  </si>
  <si>
    <t>En el formulario FC-1 están cumplimentados los nombres del presidente, secretario y vocal</t>
  </si>
  <si>
    <t>En el formulario FC-1 está cumplimentado el nombre de la gerencia / consejero-a delegado-a</t>
  </si>
  <si>
    <t>En el formulario FC-1 está cumplimentado el nombre del letrado asesor</t>
  </si>
  <si>
    <t>En el formulario FC-1 está cumplimentado el apartado "designado por:" para todos los miembros del Patronato</t>
  </si>
  <si>
    <r>
      <t xml:space="preserve">CHECK LIST   </t>
    </r>
    <r>
      <rPr>
        <b/>
        <sz val="12"/>
        <color rgb="FF0070C0"/>
        <rFont val="Arial"/>
        <family val="2"/>
      </rPr>
      <t>FC-2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ACCIONISTAS</t>
    </r>
  </si>
  <si>
    <t>En el formulario FC-2 está cumplimentada la información de los patronos / socios</t>
  </si>
  <si>
    <t>En el formulario FC-2 el porcentaje de participación de todos los patronos / socios  = 100,00%</t>
  </si>
  <si>
    <t>En el formulario FC-2 está cumplimentado el nombre del auditor de cuentas</t>
  </si>
  <si>
    <r>
      <t xml:space="preserve">CHECK LIST   </t>
    </r>
    <r>
      <rPr>
        <b/>
        <sz val="12"/>
        <color rgb="FF0070C0"/>
        <rFont val="Arial"/>
        <family val="2"/>
      </rPr>
      <t>FC-3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PÉRDIDAS Y GANANCIAS</t>
    </r>
  </si>
  <si>
    <t>La ESFL presenta un resultado &gt;= cero (las pérdidas han sido cubiertas con aport. genérica)</t>
  </si>
  <si>
    <t>Excedente del Ejercicio PN (FC-4 Pasivo) = Rtdo del ejercicio (FC-3)</t>
  </si>
  <si>
    <t>Variación patrimonio neto en el ejercicio ( I) en FC-3) = Variación patrimonio neto FC-4 Pasivo</t>
  </si>
  <si>
    <t>Ingresos actividad propia + Ventas y otros ingresos de la actividad mercantil PyG= detalle en FC-3.1</t>
  </si>
  <si>
    <r>
      <rPr>
        <sz val="12"/>
        <color theme="1"/>
        <rFont val="Arial"/>
        <family val="2"/>
      </rPr>
      <t>Otros ingresos de la actividad</t>
    </r>
    <r>
      <rPr>
        <sz val="12"/>
        <color theme="1"/>
        <rFont val="Arial"/>
        <family val="2"/>
      </rPr>
      <t xml:space="preserve"> PyG = detalle ingresos accesorios en FC-3.1</t>
    </r>
  </si>
  <si>
    <t>Gastos de personal en PyG = desglose en FC-13</t>
  </si>
  <si>
    <t>Otros resultados PyG = detalle gastos e ingresos extraordinarios en FC-3.1</t>
  </si>
  <si>
    <r>
      <t xml:space="preserve">CHECK LIST   </t>
    </r>
    <r>
      <rPr>
        <b/>
        <sz val="12"/>
        <color rgb="FF0070C0"/>
        <rFont val="Arial"/>
        <family val="2"/>
      </rPr>
      <t>FC-4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BALANCE</t>
    </r>
  </si>
  <si>
    <t>Activo = Pasivo y patrimonio neto</t>
  </si>
  <si>
    <t>Análisis del Fondo de Maniobra (FM)</t>
  </si>
  <si>
    <r>
      <t xml:space="preserve">CHECK LIST   </t>
    </r>
    <r>
      <rPr>
        <b/>
        <sz val="12"/>
        <color rgb="FF0070C0"/>
        <rFont val="Arial"/>
        <family val="2"/>
      </rPr>
      <t>FC-6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INVERSIONES</t>
    </r>
    <r>
      <rPr>
        <b/>
        <sz val="12"/>
        <color theme="1"/>
        <rFont val="Arial"/>
        <family val="2"/>
      </rPr>
      <t xml:space="preserve"> | </t>
    </r>
    <r>
      <rPr>
        <b/>
        <sz val="12"/>
        <color rgb="FF0070C0"/>
        <rFont val="Arial"/>
        <family val="2"/>
      </rPr>
      <t xml:space="preserve">FC-7 </t>
    </r>
    <r>
      <rPr>
        <sz val="12"/>
        <color rgb="FF0070C0"/>
        <rFont val="Arial"/>
        <family val="2"/>
      </rPr>
      <t>VARIACIONES INVERSIONES NO FINANCIERAS</t>
    </r>
  </si>
  <si>
    <t>Inversiones reales: Coste total = ejecución prevista 31-12-(n-1) + programación plurianual (FC-6)</t>
  </si>
  <si>
    <t>Inmovilizado intangible = Detalle de movimientos (FC-7)</t>
  </si>
  <si>
    <t>Inmovilizado material = Detalle de movimientos (FC-7)</t>
  </si>
  <si>
    <t>Inversiones inmobiliarias = Detalle de movimientos (FC-7)</t>
  </si>
  <si>
    <t>Existencias finales = Detalle de movimientos (FC-7)</t>
  </si>
  <si>
    <t>Dotaciones a la amortización PyG = Detalle de movimientos (FC-7)</t>
  </si>
  <si>
    <t>Programación plurianual (año n) en FC-6 = Adquisiciones (año n) en FC-7</t>
  </si>
  <si>
    <r>
      <t xml:space="preserve">CHECK LIST   </t>
    </r>
    <r>
      <rPr>
        <b/>
        <sz val="12"/>
        <color rgb="FF0070C0"/>
        <rFont val="Arial"/>
        <family val="2"/>
      </rPr>
      <t>FC-8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VARIACIÓN DE LAS INVERSIONES FINANCIERAS</t>
    </r>
  </si>
  <si>
    <t>Inversiones CP+LP (grupo y asociadas) = detalle en FC-8</t>
  </si>
  <si>
    <r>
      <t>Resto Inversiones financieras (otras)</t>
    </r>
    <r>
      <rPr>
        <sz val="12"/>
        <color theme="1"/>
        <rFont val="Arial"/>
        <family val="2"/>
      </rPr>
      <t xml:space="preserve"> CP+LP</t>
    </r>
    <r>
      <rPr>
        <sz val="12"/>
        <color theme="1"/>
        <rFont val="Arial"/>
        <family val="2"/>
      </rPr>
      <t xml:space="preserve"> = detalle en FC-8</t>
    </r>
  </si>
  <si>
    <r>
      <t xml:space="preserve">CHECK LIST   </t>
    </r>
    <r>
      <rPr>
        <b/>
        <sz val="12"/>
        <color rgb="FF0070C0"/>
        <rFont val="Arial"/>
        <family val="2"/>
      </rPr>
      <t>FC-9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rgb="FF0070C0"/>
        <rFont val="Arial"/>
        <family val="2"/>
      </rPr>
      <t>y FC-9.1</t>
    </r>
    <r>
      <rPr>
        <b/>
        <sz val="12"/>
        <color theme="1"/>
        <rFont val="Arial"/>
        <family val="2"/>
      </rPr>
      <t xml:space="preserve">  </t>
    </r>
    <r>
      <rPr>
        <sz val="12"/>
        <color rgb="FF0070C0"/>
        <rFont val="Arial"/>
        <family val="2"/>
      </rPr>
      <t>SUBVENCIONES Y TRANSFERENCIAS</t>
    </r>
    <r>
      <rPr>
        <b/>
        <sz val="12"/>
        <color theme="1"/>
        <rFont val="Arial"/>
        <family val="2"/>
      </rPr>
      <t xml:space="preserve">  </t>
    </r>
  </si>
  <si>
    <r>
      <t>Total s</t>
    </r>
    <r>
      <rPr>
        <sz val="12"/>
        <color theme="1"/>
        <rFont val="Arial"/>
        <family val="2"/>
      </rPr>
      <t>ubvenciones capital</t>
    </r>
    <r>
      <rPr>
        <sz val="12"/>
        <color theme="1"/>
        <rFont val="Arial"/>
        <family val="2"/>
      </rPr>
      <t xml:space="preserve"> concedidas</t>
    </r>
    <r>
      <rPr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= </t>
    </r>
    <r>
      <rPr>
        <sz val="12"/>
        <color theme="1"/>
        <rFont val="Arial"/>
        <family val="2"/>
      </rPr>
      <t>desglose 130-131-132 + desglose 479 en FC-9</t>
    </r>
  </si>
  <si>
    <t>Subvenciones capital en balance = dato en FC-9</t>
  </si>
  <si>
    <t>Impuesto por pasivo diferido (subvenciones) en balance = dato en FC-9</t>
  </si>
  <si>
    <t>Imputación de subvenciones capital en PyG (FC-3) = detalle de imputación en FC-9</t>
  </si>
  <si>
    <r>
      <t>Subvenciones explotación en PyG = dato en FC-9 (</t>
    </r>
    <r>
      <rPr>
        <u/>
        <sz val="12"/>
        <color theme="1"/>
        <rFont val="Arial"/>
        <family val="2"/>
      </rPr>
      <t>Incluye aportaciones socios ESFL</t>
    </r>
    <r>
      <rPr>
        <sz val="12"/>
        <color theme="1"/>
        <rFont val="Arial"/>
        <family val="2"/>
      </rPr>
      <t>)</t>
    </r>
  </si>
  <si>
    <t>Subvenciones de explotación totales (En FC-3_1) = datos en FC-9</t>
  </si>
  <si>
    <t>Subvenciones explotación del Cabildo en PyG (en FC-3_1) = datos en FC-9</t>
  </si>
  <si>
    <t>Deudas transformables en subvenciones a largo plazo en FC-4-PASIVO = desglose en FC-9_1</t>
  </si>
  <si>
    <t>Deudas transformables en subvenciones a corto plazo en FC-4-PASIVO = desglose en FC-9_1</t>
  </si>
  <si>
    <t>En FC-9_1, se ha cumplimentado la columna C, que identifica si la aportación es de capital o corriente</t>
  </si>
  <si>
    <t>EN FC-9_1, la clasificación a largo plazo (172) y a corto plazo (522) coinciden con el total</t>
  </si>
  <si>
    <t>Traspaso correcto de aportaciones específicas de capital de reintegrables (FC-9.1) a no reintegrables (FC-9)</t>
  </si>
  <si>
    <t>Traspaso correcto de aportaciones específicas corrientes de reintegrables (FC-9.1) a no reintegrables (FC-9)</t>
  </si>
  <si>
    <r>
      <t xml:space="preserve">CHECK LIST   </t>
    </r>
    <r>
      <rPr>
        <b/>
        <sz val="12"/>
        <color rgb="FF0070C0"/>
        <rFont val="Arial"/>
        <family val="2"/>
      </rPr>
      <t>FC-10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DEUDAS A CORTO Y LARGO PLAZO</t>
    </r>
  </si>
  <si>
    <r>
      <t xml:space="preserve">Deuda ent. Crédito + arrend. Financ. </t>
    </r>
    <r>
      <rPr>
        <sz val="12"/>
        <color theme="1"/>
        <rFont val="Arial"/>
        <family val="2"/>
      </rPr>
      <t xml:space="preserve">Largo Plazo </t>
    </r>
    <r>
      <rPr>
        <sz val="12"/>
        <color theme="1"/>
        <rFont val="Arial"/>
        <family val="2"/>
      </rPr>
      <t>en FC-4 PASIVO = desglose en FC-10</t>
    </r>
  </si>
  <si>
    <r>
      <t xml:space="preserve">Deuda ent. Crédito + arrend. Financ. Corto Plazo </t>
    </r>
    <r>
      <rPr>
        <sz val="12"/>
        <color theme="1"/>
        <rFont val="Arial"/>
        <family val="2"/>
      </rPr>
      <t>en FC-4 PASIVO = desglose en FC-10</t>
    </r>
  </si>
  <si>
    <t>Otras deudas a largo plazo (resto) en FC-4-PASIVO = desglose en FC-10</t>
  </si>
  <si>
    <t>Otras deudas a corto plazo (resto)en FC-4-PASIVO = desglose en FC-10</t>
  </si>
  <si>
    <t>Deudas con entidades del grupo y asociadas a largo plazo en FC-4 PASIVO = desglose en FC-10</t>
  </si>
  <si>
    <t>Deudas con entidades del grupo y asociadas a corto plazo en FC-4 PASIVO = desglose en FC-10</t>
  </si>
  <si>
    <r>
      <t xml:space="preserve">Deudas entidades Crédito: </t>
    </r>
    <r>
      <rPr>
        <sz val="12"/>
        <color theme="1"/>
        <rFont val="Arial"/>
        <family val="2"/>
      </rPr>
      <t>Clasificación CP+LP = Total deuda a 31-12-</t>
    </r>
    <r>
      <rPr>
        <sz val="12"/>
        <color theme="1"/>
        <rFont val="Arial"/>
        <family val="2"/>
      </rPr>
      <t>año n</t>
    </r>
    <r>
      <rPr>
        <sz val="12"/>
        <color theme="1"/>
        <rFont val="Arial"/>
        <family val="2"/>
      </rPr>
      <t xml:space="preserve"> en FC-10</t>
    </r>
  </si>
  <si>
    <t>Otras deudas (Resto): Clasificación CP+LP = Total deuda a 31-12-año n en FC-10</t>
  </si>
  <si>
    <r>
      <t xml:space="preserve">Deudas entidades grupo: </t>
    </r>
    <r>
      <rPr>
        <sz val="12"/>
        <color theme="1"/>
        <rFont val="Arial"/>
        <family val="2"/>
      </rPr>
      <t>Clasificación CP+LP = Total deuda a 31-12-</t>
    </r>
    <r>
      <rPr>
        <sz val="12"/>
        <color theme="1"/>
        <rFont val="Arial"/>
        <family val="2"/>
      </rPr>
      <t>año n</t>
    </r>
    <r>
      <rPr>
        <sz val="12"/>
        <color theme="1"/>
        <rFont val="Arial"/>
        <family val="2"/>
      </rPr>
      <t xml:space="preserve"> en FC-10</t>
    </r>
  </si>
  <si>
    <r>
      <t xml:space="preserve">CHECK LIST   </t>
    </r>
    <r>
      <rPr>
        <b/>
        <sz val="12"/>
        <color rgb="FF0070C0"/>
        <rFont val="Arial"/>
        <family val="2"/>
      </rPr>
      <t>FC-16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CAPACIDAD / NECESIDAD FINANCIACIÓN</t>
    </r>
  </si>
  <si>
    <t>Provisiones a largo plazo en Balance = dato en FC-16_1</t>
  </si>
  <si>
    <t>Provisiones a corto plazo en Balance = dato en FC-16_1</t>
  </si>
  <si>
    <r>
      <t xml:space="preserve">CHECK LIST   </t>
    </r>
    <r>
      <rPr>
        <b/>
        <sz val="12"/>
        <color rgb="FF0070C0"/>
        <rFont val="Arial"/>
        <family val="2"/>
      </rPr>
      <t>FC-17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FUENTES DE FINANCIACIÓN</t>
    </r>
  </si>
  <si>
    <t>Subvenciones de capital en FC-9 = dato en FC-17</t>
  </si>
  <si>
    <t>Subvenciones de explotación en FC-9 = dato en FC-17</t>
  </si>
  <si>
    <r>
      <t xml:space="preserve">CHECK LIST   </t>
    </r>
    <r>
      <rPr>
        <b/>
        <sz val="12"/>
        <color rgb="FF0070C0"/>
        <rFont val="Arial"/>
        <family val="2"/>
      </rPr>
      <t>FC-90</t>
    </r>
    <r>
      <rPr>
        <b/>
        <sz val="12"/>
        <color theme="1"/>
        <rFont val="Arial"/>
        <family val="2"/>
      </rPr>
      <t xml:space="preserve">  </t>
    </r>
    <r>
      <rPr>
        <sz val="12"/>
        <color rgb="FF0070C0"/>
        <rFont val="Arial"/>
        <family val="2"/>
      </rPr>
      <t>ESTRUCTURA PRESUPUESTARIA PÚBLICA</t>
    </r>
  </si>
  <si>
    <r>
      <t>Resultado de PyG = Resultado FC-9</t>
    </r>
    <r>
      <rPr>
        <sz val="12"/>
        <color theme="1"/>
        <rFont val="Arial"/>
        <family val="2"/>
      </rPr>
      <t>0-DETALLE</t>
    </r>
  </si>
  <si>
    <t>E_SI</t>
  </si>
  <si>
    <t>OBSERVACIONES Y NOTAS DE LA ENTIDAD</t>
  </si>
  <si>
    <t>ÓRGANOS DE GOBIERNO DE LA ENTIDAD</t>
  </si>
  <si>
    <t>Número total</t>
  </si>
  <si>
    <t>Designados por el sector público</t>
  </si>
  <si>
    <t>a) Por el Cabildo Insular de Tenerife o sus Entes Dependientes</t>
  </si>
  <si>
    <t>b) Por otras Administraciones Públicas</t>
  </si>
  <si>
    <t>Designados por el sector privado</t>
  </si>
  <si>
    <t>Otras AA.PP.</t>
  </si>
  <si>
    <t>Cabildo</t>
  </si>
  <si>
    <t>Otras AAPP</t>
  </si>
  <si>
    <t>Privado</t>
  </si>
  <si>
    <t>Sector privado</t>
  </si>
  <si>
    <t>Cargo:</t>
  </si>
  <si>
    <t>Nombre:</t>
  </si>
  <si>
    <t>Designado por:</t>
  </si>
  <si>
    <t>Fecha nombramiento:</t>
  </si>
  <si>
    <t>Órgano que acuerda nombramiento</t>
  </si>
  <si>
    <t>No consejero/a</t>
  </si>
  <si>
    <t>Presidencia</t>
  </si>
  <si>
    <t>D. Valentín Esteban González Évora</t>
  </si>
  <si>
    <t>Patronato</t>
  </si>
  <si>
    <t>Vicepresidencia</t>
  </si>
  <si>
    <t>D. José Manuel Garrido García</t>
  </si>
  <si>
    <t>Secretaría</t>
  </si>
  <si>
    <t>D.Jorge de Miguel García</t>
  </si>
  <si>
    <t>Vicesecretaría</t>
  </si>
  <si>
    <t>Vocal 1</t>
  </si>
  <si>
    <t>D. Amid Achi Fadul</t>
  </si>
  <si>
    <t>Vocal 2</t>
  </si>
  <si>
    <t>D. Efraín Medina Hernández</t>
  </si>
  <si>
    <t>Vocal 3</t>
  </si>
  <si>
    <t>D. Jorge Francisco Ortega</t>
  </si>
  <si>
    <t>Vocal 4</t>
  </si>
  <si>
    <t>D. Alejandro Gavela Carneiro</t>
  </si>
  <si>
    <t>Vocal 5</t>
  </si>
  <si>
    <t>D. Domingo José Ríos Mesa</t>
  </si>
  <si>
    <t>Vocal 6</t>
  </si>
  <si>
    <t>D. Manuel Fernández Vega</t>
  </si>
  <si>
    <t>Vocal 7</t>
  </si>
  <si>
    <t>D. Ignacio Sabaté Bel (Tesorero)</t>
  </si>
  <si>
    <t>Vocal 8</t>
  </si>
  <si>
    <t>Vocal 9</t>
  </si>
  <si>
    <t>Vocal 10</t>
  </si>
  <si>
    <t>Vocal 11</t>
  </si>
  <si>
    <t>Vocal 12</t>
  </si>
  <si>
    <t>Gerencia / Consejero-a delegado-a</t>
  </si>
  <si>
    <t xml:space="preserve">     D. Jorge de Miguel García</t>
  </si>
  <si>
    <t>Letrado/a Asesor/a</t>
  </si>
  <si>
    <t>Sergio García Delgado</t>
  </si>
  <si>
    <t>E_ID</t>
  </si>
  <si>
    <t>FC-1</t>
  </si>
  <si>
    <t>SOCIOS / PATRONOS, PARTICIPACIONES EN OTRAS ENTIDADES Y AUDITORES DE CUENTAS</t>
  </si>
  <si>
    <t>a) SOCIOS / PATRONOS</t>
  </si>
  <si>
    <t xml:space="preserve">Datos a 31 de diciembre de </t>
  </si>
  <si>
    <t>Variaciones producidas o previsibles en</t>
  </si>
  <si>
    <t>Razón Social</t>
  </si>
  <si>
    <t>NIF</t>
  </si>
  <si>
    <t>% Participación</t>
  </si>
  <si>
    <t>Nº  Participaciones</t>
  </si>
  <si>
    <t>Clase</t>
  </si>
  <si>
    <t>Valor Nominal (1)</t>
  </si>
  <si>
    <t>Valor Teórico (2)</t>
  </si>
  <si>
    <t>Incremento en la participación (Euros)</t>
  </si>
  <si>
    <t>Incremento en el nº de acciones</t>
  </si>
  <si>
    <t>Reducciones en la participación (Euros)</t>
  </si>
  <si>
    <t>Reducciones en el nº de acciones</t>
  </si>
  <si>
    <t>Observaciones</t>
  </si>
  <si>
    <t>Excmo. Cabildo Insular de Tenerife</t>
  </si>
  <si>
    <t>P3800001D</t>
  </si>
  <si>
    <t xml:space="preserve">No hay un número de participaciones. </t>
  </si>
  <si>
    <t>CAJA RURAL DE TENERIFE SDAD COOP DE CRÉDITO</t>
  </si>
  <si>
    <t>F38005245</t>
  </si>
  <si>
    <t>El Fondo social se compone de aportaciones.</t>
  </si>
  <si>
    <t>DEPÓSITOS ALMACENES NÚMERO UNO S.L.</t>
  </si>
  <si>
    <t>A38023925</t>
  </si>
  <si>
    <t xml:space="preserve">El valor teórico indicado se corresponde con la </t>
  </si>
  <si>
    <t>JOSE SÁNCHEZ PEÑATE S.A.</t>
  </si>
  <si>
    <t>A35020726</t>
  </si>
  <si>
    <t xml:space="preserve">parte proporcional del P.Neto  de 2023 según </t>
  </si>
  <si>
    <t>TELEFÉRICO PICO DEL TEIDE S.A.</t>
  </si>
  <si>
    <t>A38002549</t>
  </si>
  <si>
    <t>el % de participación de cada entidad.</t>
  </si>
  <si>
    <t>COMPAÑÍA CERVECERA DE CANARIAS S.L.</t>
  </si>
  <si>
    <t>A38000709</t>
  </si>
  <si>
    <t>CAJA GENERAL DE AHORROS DE CANARIAS</t>
  </si>
  <si>
    <t>G38001749</t>
  </si>
  <si>
    <t>b) PARTICIPACIONES EN OTRAS ENTIDADES</t>
  </si>
  <si>
    <t>Nº Acciones / Participaciones</t>
  </si>
  <si>
    <t>Desembolsos pendientes</t>
  </si>
  <si>
    <t>Incremento en la participación</t>
  </si>
  <si>
    <t>Reducciones en la participación</t>
  </si>
  <si>
    <t>c) AUDITORES DE CUENTAS</t>
  </si>
  <si>
    <t>Nombre ó Razón Social</t>
  </si>
  <si>
    <t>Intervención General del Excmo Cabildo Insular de Tenerife</t>
  </si>
  <si>
    <t>NOTAS</t>
  </si>
  <si>
    <t>(1) Valor nominal de una acción o participación</t>
  </si>
  <si>
    <t>(2) Valor teórico por acción o participación. Patrimonio neto a fin del ejercicio / nº de acciones o participaciones que componen el capital social</t>
  </si>
  <si>
    <t>FC-2</t>
  </si>
  <si>
    <t>CUENTA DE RESULTADOS</t>
  </si>
  <si>
    <t>CC.AA.</t>
  </si>
  <si>
    <t>PAIF Aprobado</t>
  </si>
  <si>
    <t>Estimación cierre</t>
  </si>
  <si>
    <t>Previsión PAIF</t>
  </si>
  <si>
    <t>A)</t>
  </si>
  <si>
    <t>EXCEDENTE DEL EJERCICIO</t>
  </si>
  <si>
    <t>1.</t>
  </si>
  <si>
    <t>Ingresos de la actividad propia (Detalle en FC-3.1)</t>
  </si>
  <si>
    <t>a)</t>
  </si>
  <si>
    <t xml:space="preserve">Cuotas de asociados y afiliados </t>
  </si>
  <si>
    <t>b)</t>
  </si>
  <si>
    <t>Aportaciones de usuarios</t>
  </si>
  <si>
    <t>c)</t>
  </si>
  <si>
    <t>Ingresos de promociones, patrocinadores y colaboraciones</t>
  </si>
  <si>
    <t>d)</t>
  </si>
  <si>
    <r>
      <t>Subvenciones, donaciones y legados imputados al excedente del ejercicio</t>
    </r>
    <r>
      <rPr>
        <sz val="12"/>
        <color theme="1"/>
        <rFont val="Arial"/>
        <family val="2"/>
      </rPr>
      <t xml:space="preserve"> (Detalle en FC-3.1)</t>
    </r>
  </si>
  <si>
    <t>e)</t>
  </si>
  <si>
    <t>Reintegro de ayudas y asignaciones</t>
  </si>
  <si>
    <t>2.</t>
  </si>
  <si>
    <t>Ventas y otros ingresos de la actividad mercantil (Detalle en FC-3.1)</t>
  </si>
  <si>
    <t>3.</t>
  </si>
  <si>
    <t>Gastos por ayudas y otros</t>
  </si>
  <si>
    <t>Ayudas monetarias</t>
  </si>
  <si>
    <t>Ayudas no monetarias</t>
  </si>
  <si>
    <t>Gastos por colaboraciones y del órgano de gobierno</t>
  </si>
  <si>
    <t>Reintegro de subvenciones, donaciones y legados</t>
  </si>
  <si>
    <t>4.</t>
  </si>
  <si>
    <t>Variación de existencias de productos terminados y en curso de fabricación</t>
  </si>
  <si>
    <t>5.</t>
  </si>
  <si>
    <t xml:space="preserve">Trabajos realizados por la entidad para su actividad </t>
  </si>
  <si>
    <t>6.</t>
  </si>
  <si>
    <t>Aprovisionamientos</t>
  </si>
  <si>
    <t>7.</t>
  </si>
  <si>
    <t>Otros ingresos de la actividad (Detalle en FC-3.1)</t>
  </si>
  <si>
    <t>8.</t>
  </si>
  <si>
    <t>Gastos de personal</t>
  </si>
  <si>
    <t>Gastos de personal con detalle en FC-13</t>
  </si>
  <si>
    <t>Gastos de personal sin detalle en FC-13</t>
  </si>
  <si>
    <t>9.</t>
  </si>
  <si>
    <t>Otros gastos de la actividad</t>
  </si>
  <si>
    <t>Servicios exteriores</t>
  </si>
  <si>
    <t>Tributos</t>
  </si>
  <si>
    <t>Pérdidas, deterioro y variación de provisiones por operaciones comerciales</t>
  </si>
  <si>
    <t>Otros gastos de gestión corriente</t>
  </si>
  <si>
    <t>10.</t>
  </si>
  <si>
    <t>Amortización del inmovilizado</t>
  </si>
  <si>
    <t>11.</t>
  </si>
  <si>
    <t>Subvención, donaciones y legados de capital traspasados al excedente del ejercicio</t>
  </si>
  <si>
    <t>12.</t>
  </si>
  <si>
    <t>Exceso de provisiones</t>
  </si>
  <si>
    <t>13.</t>
  </si>
  <si>
    <t>Deterioro y resultado por enajenaciones del inmovilizado</t>
  </si>
  <si>
    <t>14.</t>
  </si>
  <si>
    <t>Otros resultados</t>
  </si>
  <si>
    <t>A.1)</t>
  </si>
  <si>
    <t>EXCEDENTE DE LA ACTIVIDAD (1+2+3+4+5+6+7+8+9+10+11+12+13+14)</t>
  </si>
  <si>
    <t>15.</t>
  </si>
  <si>
    <t>Ingresos financieros</t>
  </si>
  <si>
    <t>De participaciones en instrumentos de patrimonio</t>
  </si>
  <si>
    <t>De valores negociables y otros instrumentos financieros</t>
  </si>
  <si>
    <t>16.</t>
  </si>
  <si>
    <t>Gastos financieros</t>
  </si>
  <si>
    <t>Por deudas con empresas del grupo y asociadas</t>
  </si>
  <si>
    <t>Por deudas con terceros</t>
  </si>
  <si>
    <t>Por actualización de provisiones</t>
  </si>
  <si>
    <t>17.</t>
  </si>
  <si>
    <t>Variación de valor razonable en instrumentos financieros</t>
  </si>
  <si>
    <t>18.</t>
  </si>
  <si>
    <t>Diferencias de cambio</t>
  </si>
  <si>
    <t>19.</t>
  </si>
  <si>
    <t>Deterioro y resultado por enajenaciones de instrumentos financieros</t>
  </si>
  <si>
    <t>A.2)</t>
  </si>
  <si>
    <t>EXCEDENTE DE LAS OPERACIONES FINANCIERAS (15+16+17+18+19)</t>
  </si>
  <si>
    <t>A.3)</t>
  </si>
  <si>
    <t>EXCEDENTE ANTES DE IMPUESTOS  (A1+A2)</t>
  </si>
  <si>
    <t>20.</t>
  </si>
  <si>
    <t>Impuesto sobre beneficios</t>
  </si>
  <si>
    <t>A.4)</t>
  </si>
  <si>
    <t>VARIACIÓN PATRIMONIO NETO RECONOCIDA EN EL EXCEDENTE DEL EJERCICIO (A3+20)</t>
  </si>
  <si>
    <t>B)</t>
  </si>
  <si>
    <t>INGRESOS Y GASTOS IMPUTADOS DIRECTAMENTE AL PATRIMONIO NETO</t>
  </si>
  <si>
    <t>Activos financieros disponibles para la venta</t>
  </si>
  <si>
    <t>Operaciones de cobertura de flujos de efectivo</t>
  </si>
  <si>
    <t>Subvenciones recibidas</t>
  </si>
  <si>
    <t>Donaciones y legados recibidos</t>
  </si>
  <si>
    <t>Ganancias y pérdidas actuariales y otros ajustes</t>
  </si>
  <si>
    <t>Efecto impositivo</t>
  </si>
  <si>
    <t>B.1)</t>
  </si>
  <si>
    <t>VARIACIÓN PATRIMONIO NETO POR INGRESOS Y GASTOS RECONOCIDOS DIRECTAMENTE EN EL PATRIMONIO NETO (1+2+3+4+5+6)</t>
  </si>
  <si>
    <t>C)</t>
  </si>
  <si>
    <t>RECLASIFICACIONES AL EXCEDENTE DEL EJERCICIO</t>
  </si>
  <si>
    <t>C.1)</t>
  </si>
  <si>
    <t>VARIACIÓN  PATRIMONIO NETO  POR  RECLASIFICACIONES  AL  EXCEDENTE DEL EJERCICIO  (1+2+3+4+5)</t>
  </si>
  <si>
    <t>D)</t>
  </si>
  <si>
    <t>VARIACIONES DE PATRIMONIO NETO POR INGRESOS Y GASTOS IMPUTADOS DIRECTAMENTE AL PATRIMONIO NETO ( B.1 + C.1)</t>
  </si>
  <si>
    <t>E)</t>
  </si>
  <si>
    <t>AJUSTES POR CAMBIOS DE CRITERIO</t>
  </si>
  <si>
    <t>F)</t>
  </si>
  <si>
    <t>AJUSTES POR ERRORES</t>
  </si>
  <si>
    <t>G)</t>
  </si>
  <si>
    <t>VARIACIONES EN LA DOTACIÓN FUNDACIONAL O FONDO SOCIAL</t>
  </si>
  <si>
    <t>H)</t>
  </si>
  <si>
    <t>OTRAS VARIACIONES</t>
  </si>
  <si>
    <t>I)</t>
  </si>
  <si>
    <t>RESULTADO TOTAL, VARIACIÓN DEL PATRIMONIO NETO EN EL EJERCICIO (A.4+D+E+F+G+H)</t>
  </si>
  <si>
    <t>FC-3</t>
  </si>
  <si>
    <t>INFORMACIÓN ADICIONAL RELATIVA A LA CUENTA DE RESULTADOS</t>
  </si>
  <si>
    <t>I. INGRESOS DE LA ACTIVIDAD PROPIA Y VENTAS Y PRESTACIONES DE SERVICIOS (1)</t>
  </si>
  <si>
    <t>Sin incluir Igic</t>
  </si>
  <si>
    <t>Igic Facturado</t>
  </si>
  <si>
    <t>A.- A la Corporación Local (CL):</t>
  </si>
  <si>
    <t>A.1.- Ventas:</t>
  </si>
  <si>
    <t>A.2.- Prestaciones de servicios:</t>
  </si>
  <si>
    <t>A.3.- Otros ingresos (Aportaciones y otros)</t>
  </si>
  <si>
    <t>B.- A Organismos y Entes Dependientes de la CL:</t>
  </si>
  <si>
    <t>B.1.- Ventas: (detallar)</t>
  </si>
  <si>
    <t>B.2.- Prestaciones de servicios: (detallar)</t>
  </si>
  <si>
    <t>Metropolitano de Tenerife, S.A. (MTSA)</t>
  </si>
  <si>
    <t>Mercatenerife, S.A.</t>
  </si>
  <si>
    <t>B.3.- Otros ingresos (Subvenciones / Donaciones)</t>
  </si>
  <si>
    <t>C.- Resto de Ventas y Prestaciones de servicios:</t>
  </si>
  <si>
    <t>C.1.- A otras AA PP</t>
  </si>
  <si>
    <t>C.1.1.- Ventas: (detallar)</t>
  </si>
  <si>
    <t>C.1.2.- Prestaciones de servicios: (detallar)</t>
  </si>
  <si>
    <t>C.1.3.- Otros ingresos (Subvenciones / Donaciones)</t>
  </si>
  <si>
    <t>C.2.- Sector Privado</t>
  </si>
  <si>
    <t>C.2.1.- Ventas</t>
  </si>
  <si>
    <t>C.2.2.- Prestaciones de servicios</t>
  </si>
  <si>
    <t>C.2.3.- Otros ingresos (Subvenciones / Donaciones)</t>
  </si>
  <si>
    <t>TOTAL  INGRESOS DE LA ACTIVIDAD PROPIA Y VENTAS Y PRESTACIONES DE SERVICIOS</t>
  </si>
  <si>
    <t>Previsión</t>
  </si>
  <si>
    <t>INGRESOS Y GASTOS EXCEPCIONALES</t>
  </si>
  <si>
    <r>
      <t xml:space="preserve">DETALLE DE INGRESOS (Cta 778) (2).   Cifras en </t>
    </r>
    <r>
      <rPr>
        <b/>
        <u/>
        <sz val="12"/>
        <color theme="1"/>
        <rFont val="Arial"/>
        <family val="2"/>
      </rPr>
      <t>positivo</t>
    </r>
  </si>
  <si>
    <t>Ingresos excepcionales CON efecto monetario o derecho de cobro</t>
  </si>
  <si>
    <t>Ingresos excepcionales SIN efecto monetario o derecho de cobro</t>
  </si>
  <si>
    <r>
      <t xml:space="preserve">DETALLE DE GASTOS (Cta 678) (3).     Cifras en </t>
    </r>
    <r>
      <rPr>
        <b/>
        <u/>
        <sz val="12"/>
        <color theme="1"/>
        <rFont val="Arial"/>
        <family val="2"/>
      </rPr>
      <t>negativo</t>
    </r>
  </si>
  <si>
    <t>Gastos excepcionales CON efecto monetario o pasivo financiero</t>
  </si>
  <si>
    <t>Gastos excepcionales SIN efecto monetario o pasivo financiero</t>
  </si>
  <si>
    <t>IMPUESTO SOBRE SOCIEDADES</t>
  </si>
  <si>
    <t>Retenciones y pagos a cuenta del ejercicio</t>
  </si>
  <si>
    <t>Cuota líquida a ingresar (+) o a devolver (-) del ejercicio anterior</t>
  </si>
  <si>
    <t>OTROS INGRESOS DE EXPLOTACIÓN</t>
  </si>
  <si>
    <t>a) Ingresos accesorios y otros de gestión corriente</t>
  </si>
  <si>
    <t xml:space="preserve">   a.1. Resultados de operaciones en común</t>
  </si>
  <si>
    <t xml:space="preserve">   a.2. Ingresos arrendamientos y pro. Industrial cedida en explotación</t>
  </si>
  <si>
    <t>Concesión restaurante</t>
  </si>
  <si>
    <t xml:space="preserve">   a.3. Ingresos por comisiones, servicios al personal y servicios diversos</t>
  </si>
  <si>
    <t>Alquiler salas, cursos y rutas</t>
  </si>
  <si>
    <t>Alquiler salas y cursos</t>
  </si>
  <si>
    <t>b) Subvenc. explotación incorporadas al resultado del ejercicio</t>
  </si>
  <si>
    <t xml:space="preserve">   b.1. Estado</t>
  </si>
  <si>
    <t xml:space="preserve">   b.2. Comunidad autónoma</t>
  </si>
  <si>
    <t xml:space="preserve">   b.3. Corporaciones locales</t>
  </si>
  <si>
    <t xml:space="preserve">   b.4. Cabildo Insular de Tenerife</t>
  </si>
  <si>
    <t xml:space="preserve">   b.5. Otros entes (Unión Europea)</t>
  </si>
  <si>
    <t xml:space="preserve">   b.6. Otros entes (Resto)</t>
  </si>
  <si>
    <t xml:space="preserve">   b.7. Imputación de subvenciones de explotac. de ejercicios anteriores</t>
  </si>
  <si>
    <r>
      <rPr>
        <b/>
        <i/>
        <sz val="14"/>
        <color theme="1"/>
        <rFont val="Arial"/>
        <family val="2"/>
      </rPr>
      <t>"SUBVENCIONES"</t>
    </r>
    <r>
      <rPr>
        <b/>
        <sz val="14"/>
        <color theme="1"/>
        <rFont val="Arial"/>
        <family val="2"/>
      </rPr>
      <t xml:space="preserve"> CONCEDIDAS y TRANSFERENCIAS A REALIZAR POR LA ENTIDAD REGISTRADAS COMO GASTO EN LA CUENTA DE PÉRDIDAS Y GANANCIAS</t>
    </r>
  </si>
  <si>
    <t>Cuenta</t>
  </si>
  <si>
    <t>Contable GASTO</t>
  </si>
  <si>
    <t>a) Total</t>
  </si>
  <si>
    <r>
      <t xml:space="preserve">   a.1.</t>
    </r>
    <r>
      <rPr>
        <sz val="12"/>
        <color theme="1"/>
        <rFont val="Arial"/>
        <family val="2"/>
      </rPr>
      <t xml:space="preserve"> Al sector público local de carácter administrativo</t>
    </r>
  </si>
  <si>
    <t xml:space="preserve">   a.2. Al sector público local de carácter empresarial o fundacional</t>
  </si>
  <si>
    <t xml:space="preserve">   a.3. A otros</t>
  </si>
  <si>
    <t>(1) Ventas y Prestaciones de Servicios. Incluye tanto las ventas y otros ingresos de la actividad mercantil como los ingresos de la actividad propia.</t>
  </si>
  <si>
    <t>(2) 778. Gastos Excepcionales: Beneficios e ingresos de carácter excepcional y cuantía significativa que, atendiendo a su naturaleza, no deban contabilizarse en otras cuentas del grupo 7.</t>
  </si>
  <si>
    <t xml:space="preserve">            Se incluirán, entre otros, los procedentes de aquellos créditos que en su día fueron amortizados por insolvencias firmes.</t>
  </si>
  <si>
    <t xml:space="preserve">(3) 678. Gastos Excepcionales: Pérdidas y gastos de carácter excepcional y cuantía significativa que, atendiendo a su naturaleza, no deban contabilizarse en otras cuentas del grupo 6. </t>
  </si>
  <si>
    <t xml:space="preserve">            A título indicativo se señalan los siguientes: los producidos por inundaciones, sanciones y multas, incendios...etc. (CIFRAS EN NEGATIVO)</t>
  </si>
  <si>
    <t>FC-3.1</t>
  </si>
  <si>
    <t>BALANCE DE SITUACIÓN - ACTIVO</t>
  </si>
  <si>
    <t>ACTIVO</t>
  </si>
  <si>
    <t xml:space="preserve">A) </t>
  </si>
  <si>
    <t>ACTIVO NO CORRIENTE</t>
  </si>
  <si>
    <t>I.</t>
  </si>
  <si>
    <t>Inmovilizado intangible</t>
  </si>
  <si>
    <t>II.</t>
  </si>
  <si>
    <t>Bienes del Patrimonio Histórico</t>
  </si>
  <si>
    <t>III.</t>
  </si>
  <si>
    <t>Inmovilizado material</t>
  </si>
  <si>
    <t>IV.</t>
  </si>
  <si>
    <t>Inversiones inmobiliarias</t>
  </si>
  <si>
    <t>V.</t>
  </si>
  <si>
    <t>Inversiones en entidades del grupo y asociadas a largo plazo</t>
  </si>
  <si>
    <t>VI.</t>
  </si>
  <si>
    <t>Inversiones financieras a largo plazo</t>
  </si>
  <si>
    <t>VII.</t>
  </si>
  <si>
    <t>Activos por impuesto diferido</t>
  </si>
  <si>
    <t>ACTIVO CORRIENTE</t>
  </si>
  <si>
    <t>Existencias</t>
  </si>
  <si>
    <t>Usuarios y otros deudores de la actividad propia</t>
  </si>
  <si>
    <t>Deudores comerciales y otras cuentas a cobrar</t>
  </si>
  <si>
    <t>Excmo. Cabildo Insular de Tenerife, deudor por subvenciones concedidas</t>
  </si>
  <si>
    <t>Resto de otros deudores comerciales y otras cuentas a cobrar</t>
  </si>
  <si>
    <t>Inversiones en entidades del grupo y asociadas a  corto plazo</t>
  </si>
  <si>
    <t>Inversiones financieras a corto plazo</t>
  </si>
  <si>
    <t>Periodificaciones a corto plazo</t>
  </si>
  <si>
    <t>Efectivo y otros activos líquidos equivalentes</t>
  </si>
  <si>
    <t xml:space="preserve">      TOTAL ACTIVO (A+B)</t>
  </si>
  <si>
    <t>FC-4 - ACTIVO</t>
  </si>
  <si>
    <t>BALANCE DE SITUACIÓN - PATRIMONIO NETO Y PASIVO</t>
  </si>
  <si>
    <t xml:space="preserve">    PATRIMONIO NETO Y PASIVO</t>
  </si>
  <si>
    <t>PATRIMONIO NETO</t>
  </si>
  <si>
    <t>A1)</t>
  </si>
  <si>
    <t>Fondos propios</t>
  </si>
  <si>
    <t>Dotación fundacional / Fondo social</t>
  </si>
  <si>
    <t>Dotación fundacional no exigida / Fondo social no exigido</t>
  </si>
  <si>
    <t>Reservas</t>
  </si>
  <si>
    <t>Excedentes de ejercicios anteriores</t>
  </si>
  <si>
    <t>Excedente del ejercicio</t>
  </si>
  <si>
    <t>A2)</t>
  </si>
  <si>
    <t>Ajustes por cambios de valor</t>
  </si>
  <si>
    <t>A3)</t>
  </si>
  <si>
    <t>Subvenciones, donaciones y legados recibidos</t>
  </si>
  <si>
    <t xml:space="preserve">B) </t>
  </si>
  <si>
    <t>PASIVO NO CORRIENTE</t>
  </si>
  <si>
    <t>Provisiones a largo plazo</t>
  </si>
  <si>
    <t>Deudas a largo plazo</t>
  </si>
  <si>
    <t>Deudas con entidades de crédito</t>
  </si>
  <si>
    <t>Acreedores por arrendamiento financiero</t>
  </si>
  <si>
    <t>Otros deudas a largo plazo</t>
  </si>
  <si>
    <t>Otras deudas a largo plazo por deudas transformables en subvenciones a largo plazo (cta. 172)</t>
  </si>
  <si>
    <t>Otras deudas a largo plazo (resto)</t>
  </si>
  <si>
    <t>Deudas con entidades del grupo y asociadas a largo plazo</t>
  </si>
  <si>
    <t>Pasivos por impuesto diferido</t>
  </si>
  <si>
    <t>Pasivo por impuesto diferido por el efecto impositivo de las subvenciones de capital</t>
  </si>
  <si>
    <t>Pasivo por impuesto diferido, otros</t>
  </si>
  <si>
    <t>Periodificaciones a largo plazo</t>
  </si>
  <si>
    <t>PASIVO CORRIENTE</t>
  </si>
  <si>
    <t>Provisiones a corto plazo</t>
  </si>
  <si>
    <t>Deudas a corto plazo</t>
  </si>
  <si>
    <t>Otros deudas a corto plazo</t>
  </si>
  <si>
    <t>Otras deudas a corto plazo por deudas transformables en subvenciones a largo plazo (cta. 522)</t>
  </si>
  <si>
    <t>Otras deudas a corto plazo (resto)</t>
  </si>
  <si>
    <t>Deudas con entidades del grupo y asociadas a corto plazo</t>
  </si>
  <si>
    <t>Beneficiarios - Acreedores</t>
  </si>
  <si>
    <t>Acreedores comerciales y otras cuentas a pagar</t>
  </si>
  <si>
    <t>Proveedores</t>
  </si>
  <si>
    <t>Otros acreedores</t>
  </si>
  <si>
    <t>Excmo. Cabildo Insular de Tenerife, acreedor por subvenciones a reintegrar</t>
  </si>
  <si>
    <t>Resto de otras acreedores</t>
  </si>
  <si>
    <t>TOTAL PATRIMONIO NETO Y PASIVO (A+B+C)</t>
  </si>
  <si>
    <t>FC-4 - PASIVO Y PATRIMONIO NETO</t>
  </si>
  <si>
    <t>INVERSIONES REALES (1)</t>
  </si>
  <si>
    <t>Año_fin</t>
  </si>
  <si>
    <t>Ejecución prevista</t>
  </si>
  <si>
    <t>Programación Plurianual (3)</t>
  </si>
  <si>
    <t>Previsión de importe comprometidos a 31-12-</t>
  </si>
  <si>
    <t>(4)</t>
  </si>
  <si>
    <t>hasta 31 diciembre</t>
  </si>
  <si>
    <t>Código</t>
  </si>
  <si>
    <t>Denominación</t>
  </si>
  <si>
    <t>Año inicial</t>
  </si>
  <si>
    <t>Año fin</t>
  </si>
  <si>
    <t>Coste total (2)</t>
  </si>
  <si>
    <t>Resto</t>
  </si>
  <si>
    <t>EQUIPOS INFORMATICOS</t>
  </si>
  <si>
    <t>OTRO INMOVILIZADO MATERIAL</t>
  </si>
  <si>
    <t>resto</t>
  </si>
  <si>
    <t>TOTALES</t>
  </si>
  <si>
    <t>NOTAS:</t>
  </si>
  <si>
    <t xml:space="preserve">(1)  Se incluiran todos los proyectos de inversión que se realicen en el ejercicio </t>
  </si>
  <si>
    <t>, así como los que está previsto realizar en los tres ejercicios siguientes.</t>
  </si>
  <si>
    <t xml:space="preserve">       Aquellos proyectos de inversión cuyos importe sean de escasa importancia en relación al volumen total de inversiones, podrán agruparse en uno o varios proyectos genéricos</t>
  </si>
  <si>
    <t xml:space="preserve">(2)  El coste total de cada inversión se desglosará entre el importe que se prevé ejecutar hasta    31 / dic / </t>
  </si>
  <si>
    <t>, y la programación plurianual</t>
  </si>
  <si>
    <t>(3)  Estimación de los importes de inversión que se ejecutarán en cada uno de los ejercicios.</t>
  </si>
  <si>
    <r>
      <t xml:space="preserve">(4)  Se detallarán los importes comprometidos, es decir, las inversiones que estén </t>
    </r>
    <r>
      <rPr>
        <b/>
        <u/>
        <sz val="12"/>
        <rFont val="Arial"/>
        <family val="2"/>
      </rPr>
      <t>adjudicadas</t>
    </r>
    <r>
      <rPr>
        <sz val="12"/>
        <color theme="1"/>
        <rFont val="Arial"/>
        <family val="2"/>
      </rPr>
      <t xml:space="preserve"> a 31 / dic /</t>
    </r>
  </si>
  <si>
    <t>, desglosandolos por los ejercicios en los que se prevé realizar la inversión.</t>
  </si>
  <si>
    <t>FC-6</t>
  </si>
  <si>
    <t>INVERSIONES NO FINANCIERAS. Variaciones del inmovilizado y existencias</t>
  </si>
  <si>
    <r>
      <t xml:space="preserve">Saldo inicial </t>
    </r>
    <r>
      <rPr>
        <b/>
        <sz val="9"/>
        <color theme="1"/>
        <rFont val="Arial"/>
        <family val="2"/>
      </rPr>
      <t>(1)</t>
    </r>
  </si>
  <si>
    <t>Variaciones</t>
  </si>
  <si>
    <r>
      <t xml:space="preserve">Saldo final </t>
    </r>
    <r>
      <rPr>
        <b/>
        <sz val="9"/>
        <color theme="1"/>
        <rFont val="Arial"/>
        <family val="2"/>
      </rPr>
      <t>(9)</t>
    </r>
  </si>
  <si>
    <t>OBSERVACIONES (11)</t>
  </si>
  <si>
    <t xml:space="preserve"> I. Estimación</t>
  </si>
  <si>
    <t>(+)Adquisiciones      (2)</t>
  </si>
  <si>
    <t>(+/-)Provisión por desmantelamiento (3)</t>
  </si>
  <si>
    <t>(+)Intereses capitalizados          (4)</t>
  </si>
  <si>
    <t>(-)Amortización del ejercicio                    (5)</t>
  </si>
  <si>
    <t>(+/-)Deterioro o Reversión del deterioro                   (6)</t>
  </si>
  <si>
    <t>(-) Ventas                   (7)</t>
  </si>
  <si>
    <t>(+/-) Otras variaciones (especificar en observaciones) (8)</t>
  </si>
  <si>
    <t>Precio de venta de las enajenaciones (10)</t>
  </si>
  <si>
    <t xml:space="preserve">  Inmovilizado Intangible</t>
  </si>
  <si>
    <t xml:space="preserve">  Inmovilizado material (terrenos)</t>
  </si>
  <si>
    <t xml:space="preserve">  Inmovilizado material (excepto terrenos)</t>
  </si>
  <si>
    <t xml:space="preserve">  Inversiones inmobiliarias (terrenos)</t>
  </si>
  <si>
    <t xml:space="preserve">  Inversiones inmobiliarias (excepto terrenos)</t>
  </si>
  <si>
    <t>TOTAL</t>
  </si>
  <si>
    <t xml:space="preserve">  Existencias</t>
  </si>
  <si>
    <t>II. Previsión</t>
  </si>
  <si>
    <t xml:space="preserve">(1)  SALDO INICIAL: Saldo del valor neto contable recogido en balance a 1 de enero del ejercicio al que esté referido el período </t>
  </si>
  <si>
    <t>(2)  ADQUISICIONES: El importe facturado por el proveedor y otros importes (portes ...) incorporados como mayor valor del activo, salvo los recogidos en las columnas (3) y (4).</t>
  </si>
  <si>
    <t>(3)  PROVISIÓN POR DESMANTELAMIENTO: Se reflejará, con signo positivo o negativo según proceda, el importe de la provisión por desmantelamiento y las posteriores correcciones a la misma dotadas como mayor (o menor) valor del inmovilizado.</t>
  </si>
  <si>
    <t>(4)  INTERESES CAPITALIZADOS: Se reflejará, con signo positivo, el importe de los intereses incorporados como mayor valor del activo.</t>
  </si>
  <si>
    <t>(5)  AMORTIZACIÓN DEL EJERCICIO: se reflejará, con signo negativo, el importe de la amortización dotada en el ejercicio. En su caso, con signo positivo, las correcciones a la amortización acumulada</t>
  </si>
  <si>
    <t>(6)  DETERIORO O REVERSIÓN DEL DETERIORO: se reflejará, con signo negativo, el deterioro contabilizado en el ejercicio. Con signo positivo figurarán los excesos de deterioro que se produzcan.</t>
  </si>
  <si>
    <t>(7)  VENTAS: recoge el valor neto contable de las activos enajenados.</t>
  </si>
  <si>
    <t>(8)  OTRAS VARIACIONES: deben reflejarse el resto de variaciones, distintas de las anteriores, que impliquen un mayor o menor valor de las activos.</t>
  </si>
  <si>
    <t>(9)  SALDO FINAL: Saldo recogido en balance a 31 de diciembre del ejercicio al que está referidas las cuentas anuales.</t>
  </si>
  <si>
    <t>(10)  PRECIO DE VENTA DE LAS ENAJENACIONES: Precio obtenido de la venta de los elementos de inmovilizado dados de baja en el ejercicio.</t>
  </si>
  <si>
    <t>(11)  OBSERVACIONES: se recogera cualquier otra información que se considere relevante relativa a cada operación.</t>
  </si>
  <si>
    <t>FC-7</t>
  </si>
  <si>
    <t>INVERSIONES FINANCIERAS. Variación de las inversiones financieras e instrumentos de patrimonio.</t>
  </si>
  <si>
    <t>I. INVERSIONES EN EMPRESAS DEL GRUPO Y ASOCIADAS (1)</t>
  </si>
  <si>
    <t>Saldo inicial</t>
  </si>
  <si>
    <t>Porcentaje</t>
  </si>
  <si>
    <t>Dividendo</t>
  </si>
  <si>
    <t>OBSERVACIONES (3)</t>
  </si>
  <si>
    <t>Entidad beneficiaria</t>
  </si>
  <si>
    <t>de balance</t>
  </si>
  <si>
    <t>Adquisiciones</t>
  </si>
  <si>
    <t>Enajenaciones o reembolsos de préstamos concedidos</t>
  </si>
  <si>
    <t>Pérdidas de valor y otros</t>
  </si>
  <si>
    <t>Participación (2)</t>
  </si>
  <si>
    <t>INVERSIONES EN INSTRUMENTOS DE PATRIMONIO (4)</t>
  </si>
  <si>
    <t>RESTO DE INVERSIONES (5)</t>
  </si>
  <si>
    <t>II. INVERSIONES EN OTRAS EMPRESAS (6)</t>
  </si>
  <si>
    <t>OBSERVACIONES (8)</t>
  </si>
  <si>
    <t>Participación (7)</t>
  </si>
  <si>
    <t>INVERSIONES EN INSTRUMENTOS DE PATRIMONIO (9)</t>
  </si>
  <si>
    <t>RESTO DE INVERSIONES (10)</t>
  </si>
  <si>
    <t>(1) INVERSIONES: Inclyue las inversiones financieras, tanto a largo como a corto plazo, que la entidad realiza en entidades del grupo y asociadas con independencia de que la empresa tenga la intención de venderlos en el corto plazo.</t>
  </si>
  <si>
    <t>(2) % PARTICIPACION: poncentaje total de participación que, al final del ejercicio, la entidad posee en la sociedad del grupo o asociada.</t>
  </si>
  <si>
    <t>(3) OBSERVACIONES: se recogera cualquier otra información que se considere relevante relativa a cada operación. En particular, se señalará el importe de los desembolsos pendientes en instrumentos de patrimonio.</t>
  </si>
  <si>
    <t>(4) INVERSIONES EN INSTRUMENTOS DE PATRIMONIO: recoge las inversiones a corto o largo plazo en derechos sobre el patrimonio neto tales como acciones con o sin cotización oficial y otros valores en empresas del grupo o asociadas.</t>
  </si>
  <si>
    <t>(5) RESTO DE INVERSIONES: se incluyen en este apartado el importe de los valores representativos de deuda así como los créditos, tanto a largo como a corto plazo, en entidades del grupo y asociadas.</t>
  </si>
  <si>
    <t>(6) INVERSIONES: Inclyue las inversiones financieras, tanto a largo como a corto plazo, que la entidad realiza en entidades QUE NO SON del grupo NI asociadas con independencia de que la empresa tenga la intención de venderlos en el corto plazo.</t>
  </si>
  <si>
    <t>(7) % PARTICIPACION: porcentaje total de participación que, al final del ejercicio, la entidad posee en la sociedad.</t>
  </si>
  <si>
    <t>(8) OBSERVACIONES: se recogera cualquier otra información que se considere relevante relativa a cada operación. En particular, se señalará el importe de los desembolsos pendientes en instrumentos de patrimonio.</t>
  </si>
  <si>
    <t>(9) INVERSIONES EN INSTRUMENTOS DE PATRIMONIO: recoge las inversiones a corto o largo plazo en derechos sobre el patrimonio neto tales como acciones con o sin cotización oficial y otros valores en empresas QUE NO SON del grupo  NI asociadas.</t>
  </si>
  <si>
    <t>(10) RESTO DE INVERSIONES: se incluyen en este apartado el importe de los valores representativos de deuda así como los créditos, tanto a largo como a corto plazo, en entidades QUE NO SON del grupo  NI asociadas.</t>
  </si>
  <si>
    <t>FC-8</t>
  </si>
  <si>
    <t>NOTA IMPORTANTE</t>
  </si>
  <si>
    <t>SUBVENCIONES Y TRANSFERENCIAS (1)</t>
  </si>
  <si>
    <t>Las aportaciones específicas, sean de capital o corrientes (explotación) deben denominarse con el nombre dado por el Excmo. Cabildo Insular de Tenerife u otra entidad.</t>
  </si>
  <si>
    <t>Así mismo, las aportaciones específicas deben individualizarse según han sido concedidas, no pudiendo agruparse ni desglosarse.</t>
  </si>
  <si>
    <t>I. SUBVENCIONES Y TRANSFERENCIAS.</t>
  </si>
  <si>
    <t>I.1. SUBVENCIONES DE CAPITAL</t>
  </si>
  <si>
    <t>Ente</t>
  </si>
  <si>
    <t>DATOS SEGÚN CRITERIOS DE CONTABILIDAD DE LA ENTIDAD (2)</t>
  </si>
  <si>
    <t>DATOS SEGÚN CRITERIOS ECIT</t>
  </si>
  <si>
    <t>Observaciones sobre diferencias entre aportaciones s/criterio de entidad y s/criterio del ECIT/AAPP</t>
  </si>
  <si>
    <t>Descripción</t>
  </si>
  <si>
    <t>( Si es "Otros" especificar a la derecha el Ente emisor)</t>
  </si>
  <si>
    <t>Importe total concedido</t>
  </si>
  <si>
    <t>y OTRAS ADM. PÚBLICAS (3)</t>
  </si>
  <si>
    <t>Ejercicio</t>
  </si>
  <si>
    <t>Subvención</t>
  </si>
  <si>
    <t>Ctas. 130-131-132</t>
  </si>
  <si>
    <t>Cuenta 479</t>
  </si>
  <si>
    <t>ÁREA</t>
  </si>
  <si>
    <t>PROG.</t>
  </si>
  <si>
    <t>ECON.</t>
  </si>
  <si>
    <t>Otorgamiento</t>
  </si>
  <si>
    <t xml:space="preserve">TOTAL CONCEDIDAS </t>
  </si>
  <si>
    <t>Menos imputación de subvenciones al resultado del ejercicio</t>
  </si>
  <si>
    <t>SALDO FINAL DE SUBVENCIONES, DONACIONES Y LEGADOS</t>
  </si>
  <si>
    <t>Subv. de capital concedidas por el Cabildo</t>
  </si>
  <si>
    <t>Subv. de capital concedidas por Unidades dependientes del Cabildo</t>
  </si>
  <si>
    <t>Subv. de capital concedidas por la Unión Europea</t>
  </si>
  <si>
    <t>Subv. de capital concedidas por otras Administraciones y Entes públicos</t>
  </si>
  <si>
    <t>I.2. SUBVENCIONES DE EXPLOTACIÓN.</t>
  </si>
  <si>
    <t>DATOS SEGÚN CRITERIOS CONTABILIDAD ENTIDAD (4)</t>
  </si>
  <si>
    <t>DATOS SEGÚN CRITERIOS ECIT y OTRAS ADM. PÚBLICAS (5)</t>
  </si>
  <si>
    <t>Aport específica corriente- Acciones Desarrollo Tenerife Rural (2023)</t>
  </si>
  <si>
    <t>Aport específica corriente- Acciones Desarrollo Tenerife Rural (2024)</t>
  </si>
  <si>
    <t>Aport específica corriente- San Andrés (2024)</t>
  </si>
  <si>
    <t>Aport específica corriente- Acciones Desarrollo Tenerife Rural (2025)</t>
  </si>
  <si>
    <t>Aport específica corriente- San Andrés (2025)</t>
  </si>
  <si>
    <t>Donaciones recibidas de privados</t>
  </si>
  <si>
    <t>Otros - Donaciones recibidas de privados</t>
  </si>
  <si>
    <t>Aport específica corriente- PRACTICA. Fomento de la Empleabilidad de Personas Cualificadas</t>
  </si>
  <si>
    <t>Subv. de explotación concedidas por el Cabildo</t>
  </si>
  <si>
    <t>Subv. de explotación concedidas por Unidades dependientes del Cabildo</t>
  </si>
  <si>
    <t>Subv. de explotación concedidas por la Unión Europea</t>
  </si>
  <si>
    <t>Subv. de explotación concedidas por otras Administraciones y Entes públicos</t>
  </si>
  <si>
    <t>II. APORTACIONES DE SOCIOS.</t>
  </si>
  <si>
    <t>DATOS SEGÚN CRITERIOS CONTABILIDAD ENTIDAD (6)</t>
  </si>
  <si>
    <t>DATOS SEGÚN CRITERIOS ECIT y OTRAS ADM. PÚBLICAS (7)</t>
  </si>
  <si>
    <t>Aportación Genérica 2024</t>
  </si>
  <si>
    <t>Aportación Genérica 2025</t>
  </si>
  <si>
    <t>Aportaciones genéricas concedidas por el Cabildo</t>
  </si>
  <si>
    <r>
      <t>III. EMISIÓN DE INSTRUMENTOS DE PATRIMONIO PROPIO.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(8)</t>
    </r>
  </si>
  <si>
    <t>Ejercicio otorgamiento</t>
  </si>
  <si>
    <t>TOTAL EMISIÓN</t>
  </si>
  <si>
    <t>NOTAS ACLARATORIAS DE LA ENTIDAD</t>
  </si>
  <si>
    <t>NOTA:</t>
  </si>
  <si>
    <t>(1) Se incluiran en este cuadro todas las aportaciones y subvenciones recibidos del Excmo. Cabildo Insular de Tenerife y de cualquier otras administración pública ó ente privado. Debe detallarse cada subvención o aportación de forma nominativa y según ha sido denominada por la Entidad otorgante.</t>
  </si>
  <si>
    <t xml:space="preserve">      Las aportaciones específicas, de capital o corrientes, deben expresarse de forma individalizada, sin agrupar varias aportaciones, ni desagregar una aportación individual única en varias.</t>
  </si>
  <si>
    <r>
      <t xml:space="preserve">      En las notas siguientes, cuando se refiere a</t>
    </r>
    <r>
      <rPr>
        <b/>
        <sz val="9"/>
        <color theme="1"/>
        <rFont val="Arial"/>
        <family val="2"/>
      </rPr>
      <t xml:space="preserve"> importes estimados</t>
    </r>
    <r>
      <rPr>
        <sz val="9"/>
        <color theme="1"/>
        <rFont val="Arial"/>
        <family val="2"/>
      </rPr>
      <t xml:space="preserve"> son los correspondientes a:</t>
    </r>
  </si>
  <si>
    <r>
      <t>Cuando se refiere a</t>
    </r>
    <r>
      <rPr>
        <b/>
        <sz val="9"/>
        <color theme="1"/>
        <rFont val="Arial"/>
        <family val="2"/>
      </rPr>
      <t xml:space="preserve"> importes previsibles</t>
    </r>
    <r>
      <rPr>
        <sz val="9"/>
        <color theme="1"/>
        <rFont val="Arial"/>
        <family val="2"/>
      </rPr>
      <t xml:space="preserve"> son los correspondientes a:</t>
    </r>
  </si>
  <si>
    <t xml:space="preserve">(2) Se deben incluir los movimientos contables en la entidad/sociedad, estimados y previsibles, correspondientes a las subvenciones de capital registradas en las cuentas 130,131 y 132, y de forma separada. su efecto impositivo registrado en la cuenta 479 </t>
  </si>
  <si>
    <t xml:space="preserve">      (efecto impositivo clasificado  en el pasivo del balance en el epígrafe B) IV) . El saldo final de esta partida debe cuadrar con la indicada en el epígrafe A3 del patrimonio neto del balance estimado y previsto.</t>
  </si>
  <si>
    <t xml:space="preserve">(3) Se deben incluir de forma detallada todas las subvenciones de capital otorgadas por el Excmo. Cabildo Insular de Tenerife y cualquier otra administración pública, clasificando el importe según el año en que dichas administraciones estimen o prevean </t>
  </si>
  <si>
    <t xml:space="preserve">      otorgar dichas subvenciones. Es decir, la información y su clasificación por ejercicios económicos vendrá dada por el criterio contable de la administración pública otorgante. Si ambos criterios son coincidentes se pondrán idénticas cifras.</t>
  </si>
  <si>
    <t xml:space="preserve">      Como ejemplo se incluiran en este bloque las subvenciones de capital otorgadas a la entidad que no se han contabilizado en las cuentas de Patrimonio Neto de la entidad/sociedad, a la espera de que se verifiquen las condiciones</t>
  </si>
  <si>
    <t xml:space="preserve">      de la subvención.</t>
  </si>
  <si>
    <t>(4) Importes estimados y previsibles a registrar por la entidad en la cuenta contable 740. Subvenciones, donaciones y legados de explotación. El importe total debe coincidir con las cifras del epígrafe 5.b de la cuenta de pérdidas y ganancias</t>
  </si>
  <si>
    <t>(5) Se indicaran los importes de las subvenciones de explotación estimadas o previsibles otorgadas por el Excmo. Cabildo Insular de Tenerife (Anexo IV) y otros organismos de acuerdo a sus criterios de imputación contable. Si los criterios de la administración</t>
  </si>
  <si>
    <t xml:space="preserve">       pública que otorgara la subvención y la entidad/sociedad son coincidentes, deben indicarse idénticas cifras en ambos cuadros.</t>
  </si>
  <si>
    <t>(6) Se indicarán los importes de las aportaciones de socios estimadas y previsibles que se registran en la cuenta contable 118 y que se recogen en el epígrafe A1) VI. del patrimonio neto del balance.</t>
  </si>
  <si>
    <r>
      <t xml:space="preserve">(7) Se indicarán los importes de las </t>
    </r>
    <r>
      <rPr>
        <sz val="9"/>
        <rFont val="Arial"/>
        <family val="2"/>
      </rPr>
      <t>aportaciones genéricas</t>
    </r>
    <r>
      <rPr>
        <sz val="9"/>
        <color theme="1"/>
        <rFont val="Arial"/>
        <family val="2"/>
      </rPr>
      <t xml:space="preserve"> estimadas y previsibles otorgadas por el Excmo. Cabildo Insular de Tenerife (Anexo III) o cualquier otro socio, de acuerdo a su criterio de imputación contable. Si los criterios son coincidentes, deben</t>
    </r>
  </si>
  <si>
    <t xml:space="preserve">       indicarse idénticas cifras en ambos cuadros.</t>
  </si>
  <si>
    <t>(8) Emisión de instrumentos de patrimonio. Se refiere a aumentos de capital adicionándole, en su caso, los importes de las primas de emisión estimadas o previsibles. Deben detallarse los suscriptores de dicho aumento, ascendiendo su total al</t>
  </si>
  <si>
    <t xml:space="preserve">      importe total de la ampliación de capital + prima de emisión.</t>
  </si>
  <si>
    <t>FC-9</t>
  </si>
  <si>
    <t>Para el desplegable de "SUBVENCIONES DE CAPITAL y EXPLOTACIÓN".</t>
  </si>
  <si>
    <t>Otros - Unidad dependiente del Cabildo</t>
  </si>
  <si>
    <t>Otros - Unión Europea</t>
  </si>
  <si>
    <t>Otros - De otras Administraciones y Entes públicos</t>
  </si>
  <si>
    <t>DEUDAS A CORTO Y LARGO PLAZO</t>
  </si>
  <si>
    <t>III. OTROS PASIVOS FINANCIEROS A CORTO y LARGO PLAZO - DEUDAS TRANSFORMABLES EN SUBVENCIONES / SUBVENCIONES REINTEGRABLES.</t>
  </si>
  <si>
    <t>DEUDAS TRANSFORMABLES EN SUBVENCIONES / SUBVENCIONES REINTEGRABLES.</t>
  </si>
  <si>
    <t>Tipo de</t>
  </si>
  <si>
    <t xml:space="preserve">Descripción de </t>
  </si>
  <si>
    <t>Compromiso</t>
  </si>
  <si>
    <t>Fecha máx.</t>
  </si>
  <si>
    <t>Entidad</t>
  </si>
  <si>
    <t>Importe inicial</t>
  </si>
  <si>
    <t>(7) Saldo 31-12</t>
  </si>
  <si>
    <t xml:space="preserve">(8) Altas (Comprometidas) </t>
  </si>
  <si>
    <t>(9) Bajas (Anulación)</t>
  </si>
  <si>
    <t>Saldo 31-12</t>
  </si>
  <si>
    <t xml:space="preserve">Clasificación </t>
  </si>
  <si>
    <t>Aportación (1)</t>
  </si>
  <si>
    <t>la aportación (2)</t>
  </si>
  <si>
    <t>para anualidad:</t>
  </si>
  <si>
    <t>justificación (4)</t>
  </si>
  <si>
    <t>otorgante (5)</t>
  </si>
  <si>
    <t>Comprometido (6)</t>
  </si>
  <si>
    <t>corto plazo (522)</t>
  </si>
  <si>
    <t>largo plazo (172)</t>
  </si>
  <si>
    <t>Año de</t>
  </si>
  <si>
    <t>Epígrafe</t>
  </si>
  <si>
    <t xml:space="preserve">(8) Altas (Concedidas) </t>
  </si>
  <si>
    <t>(9) Bajas (Reintegro)</t>
  </si>
  <si>
    <t>(10) Traspaso  (No reintegrables)</t>
  </si>
  <si>
    <t>Clasificación (8)</t>
  </si>
  <si>
    <t>Concesión (3)</t>
  </si>
  <si>
    <t>Balance</t>
  </si>
  <si>
    <t>Concedido (6)</t>
  </si>
  <si>
    <t>Corriente</t>
  </si>
  <si>
    <t>Acciones Desarrollo Tenerife Rural (2024)</t>
  </si>
  <si>
    <t>C)II.3.a)</t>
  </si>
  <si>
    <t>Acciones Desarrollo Tenerife Rural (2025)</t>
  </si>
  <si>
    <t>Capital</t>
  </si>
  <si>
    <t>Actos de S. Andrés (2025)</t>
  </si>
  <si>
    <t>SUBTOTAL SUBVENCIONES REINTEGRABLES (11)</t>
  </si>
  <si>
    <t>Aportaciones corrientes</t>
  </si>
  <si>
    <t>ejercicios anteriores</t>
  </si>
  <si>
    <t>Aportaciones de capital</t>
  </si>
  <si>
    <t>TOTAL SUBVENCIONES REINTEGRABLES</t>
  </si>
  <si>
    <t>(1) Seleccionar en el menú desplegable:  Corriente o de Capital</t>
  </si>
  <si>
    <t>(2) Describir la aportación de acuerdo a la denominación dada por el Entidad Otorgante. En el caso de aportaciones plurianuales, debe desglosarse la misma por anualidades, es decir, cada anualidad en una fila diferente</t>
  </si>
  <si>
    <t>(3) Indicar el año en el que la Entidad Otorgante reconoció la obligación en relación a la aportación o subvención. En las aportaciones plurianuales es el ejercicio en que se consigno en presupuesto, no e ejercicio en que se comprometió la aportación</t>
  </si>
  <si>
    <t>(4) Cumplimentar la fecha (día, mes y año) del plazo límite de justificación de la subvención</t>
  </si>
  <si>
    <t xml:space="preserve">(5) Indicar la Entidad Otorgante de la Subvención. </t>
  </si>
  <si>
    <t>(6) Importe total de la subvención y/o aportaciones concedidas o que se prevé conceder.</t>
  </si>
  <si>
    <t>(7) Saldo a final del ejercicio indicado correspondiente a las subvenciones y/o aportaciones pendientes de aplicar a su finalidad (reintegrables)</t>
  </si>
  <si>
    <t>(8) Importe de las subvenciones y/o aportaciones que se prevé conceder en el ejercicio presupuestado y que a cierre de dicho ejercicio tienen la consideración total o parcial de subvenciones reintegrables.</t>
  </si>
  <si>
    <t xml:space="preserve">(9) Importe de las subvenciones y/o aportaciones que se prevé reintegrar en el ejercicio presupuestado. </t>
  </si>
  <si>
    <r>
      <t>(10) Importe total o parcial de las subvenciones o aportaciones para las que se considera que se han cumplido las condiciones para ser consideradas no reintegrables y por tanto deben detallarse en el formulario</t>
    </r>
    <r>
      <rPr>
        <b/>
        <sz val="10"/>
        <color theme="1"/>
        <rFont val="Arial"/>
        <family val="2"/>
      </rPr>
      <t xml:space="preserve"> FC-9</t>
    </r>
  </si>
  <si>
    <t>FC-10</t>
  </si>
  <si>
    <t>I. OPERACIONES DE CRÉDITO A CORTO y LARGO PLAZO (1)</t>
  </si>
  <si>
    <t>Nº</t>
  </si>
  <si>
    <t>Tipo</t>
  </si>
  <si>
    <t>Fecha</t>
  </si>
  <si>
    <t>Avalada por</t>
  </si>
  <si>
    <t>Avalado por</t>
  </si>
  <si>
    <t>Importe</t>
  </si>
  <si>
    <t>Disposición Capital</t>
  </si>
  <si>
    <r>
      <rPr>
        <b/>
        <sz val="11"/>
        <color theme="1"/>
        <rFont val="Arial"/>
        <family val="2"/>
      </rPr>
      <t>Capital Amort.</t>
    </r>
    <r>
      <rPr>
        <b/>
        <sz val="12"/>
        <color theme="1"/>
        <rFont val="Arial"/>
        <family val="2"/>
      </rPr>
      <t xml:space="preserve"> (5)</t>
    </r>
  </si>
  <si>
    <t>Intereses (6)</t>
  </si>
  <si>
    <t>Otros gastos financieros(7)</t>
  </si>
  <si>
    <t>Operación</t>
  </si>
  <si>
    <t>Concesión</t>
  </si>
  <si>
    <t>Vencimiento</t>
  </si>
  <si>
    <t>Financiera</t>
  </si>
  <si>
    <t>Cabildo (2)</t>
  </si>
  <si>
    <t>Otra entidad (3)</t>
  </si>
  <si>
    <t>Concedido (4)</t>
  </si>
  <si>
    <t>corto plazo</t>
  </si>
  <si>
    <t>largo plazo</t>
  </si>
  <si>
    <t xml:space="preserve">   Total </t>
  </si>
  <si>
    <t>II. OTROS PASIVOS FINANCIEROS A CORTO y LARGO PLAZO (1)</t>
  </si>
  <si>
    <t>B) RESTO DE OTROS PASIVOS FINANCIEROS</t>
  </si>
  <si>
    <t xml:space="preserve">Traspasos (9)          sin efecto monetario  </t>
  </si>
  <si>
    <t>(2)</t>
  </si>
  <si>
    <t>Fianza alquiler restaurante</t>
  </si>
  <si>
    <t xml:space="preserve"> </t>
  </si>
  <si>
    <t>Garantía Gestion Asesores</t>
  </si>
  <si>
    <t>Ventas libro Tfe Wine</t>
  </si>
  <si>
    <t>SUBTOTAL B)</t>
  </si>
  <si>
    <t>III. DEUDAS CON ENTIDADES DEL GRUPO A CORTO Y LARGO PLAZO (1)</t>
  </si>
  <si>
    <r>
      <t xml:space="preserve">(1) Se desglosarán todas las operaciones, existentes y previstas, estén o no avaladas por el Cabildo Insular de Tenerife. Desglose epígrafes Pasivo del Balance de Situación: Deudas con entidades de crédito a largo plazo y arrendamientos financieros (  </t>
    </r>
    <r>
      <rPr>
        <b/>
        <sz val="10"/>
        <color theme="1"/>
        <rFont val="Arial"/>
        <family val="2"/>
      </rPr>
      <t>B) II.1. - B) II.2. )</t>
    </r>
    <r>
      <rPr>
        <sz val="10"/>
        <color theme="1"/>
        <rFont val="Arial"/>
        <family val="2"/>
      </rPr>
      <t xml:space="preserve"> y a corto plazo</t>
    </r>
    <r>
      <rPr>
        <b/>
        <sz val="10"/>
        <color theme="1"/>
        <rFont val="Arial"/>
        <family val="2"/>
      </rPr>
      <t xml:space="preserve"> (  C) II.1  C) II.2.  )</t>
    </r>
    <r>
      <rPr>
        <sz val="10"/>
        <color theme="1"/>
        <rFont val="Arial"/>
        <family val="2"/>
      </rPr>
      <t xml:space="preserve">, </t>
    </r>
  </si>
  <si>
    <r>
      <t xml:space="preserve">               Otros pasivos financieros a largo plazo </t>
    </r>
    <r>
      <rPr>
        <b/>
        <sz val="10"/>
        <color theme="1"/>
        <rFont val="Arial"/>
        <family val="2"/>
      </rPr>
      <t>( B) II. 3. )</t>
    </r>
    <r>
      <rPr>
        <sz val="10"/>
        <color theme="1"/>
        <rFont val="Arial"/>
        <family val="2"/>
      </rPr>
      <t xml:space="preserve">  y a corto plazo</t>
    </r>
    <r>
      <rPr>
        <b/>
        <sz val="10"/>
        <color theme="1"/>
        <rFont val="Arial"/>
        <family val="2"/>
      </rPr>
      <t xml:space="preserve"> ( C) II. 3. )</t>
    </r>
    <r>
      <rPr>
        <sz val="10"/>
        <color theme="1"/>
        <rFont val="Arial"/>
        <family val="2"/>
      </rPr>
      <t>, y  deudas con entidades del grupo y asociadas a largo plazo</t>
    </r>
    <r>
      <rPr>
        <b/>
        <sz val="10"/>
        <color theme="1"/>
        <rFont val="Arial"/>
        <family val="2"/>
      </rPr>
      <t xml:space="preserve"> ( B) III. ) </t>
    </r>
    <r>
      <rPr>
        <sz val="10"/>
        <color theme="1"/>
        <rFont val="Arial"/>
        <family val="2"/>
      </rPr>
      <t xml:space="preserve">y a corto plazo </t>
    </r>
    <r>
      <rPr>
        <b/>
        <sz val="10"/>
        <color theme="1"/>
        <rFont val="Arial"/>
        <family val="2"/>
      </rPr>
      <t>( C)  III. )</t>
    </r>
  </si>
  <si>
    <r>
      <t xml:space="preserve">(2) Se especificará si la operación está avalada por el Cabildo </t>
    </r>
    <r>
      <rPr>
        <b/>
        <sz val="10"/>
        <color theme="1"/>
        <rFont val="Arial"/>
        <family val="2"/>
      </rPr>
      <t>(si/no)</t>
    </r>
  </si>
  <si>
    <t>(3) Indicar la entidad, distinta del Excmo. Cabildo Insular de Tenerife que avala la operación</t>
  </si>
  <si>
    <t>(4) Importe concedido en el momento de formalización de la operación</t>
  </si>
  <si>
    <r>
      <t xml:space="preserve">(5) Cuota de amortización del principal de la deuda, y/o amortización anticipada prevista. (Capital a amortizar). </t>
    </r>
    <r>
      <rPr>
        <b/>
        <sz val="10"/>
        <color theme="1"/>
        <rFont val="Arial"/>
        <family val="2"/>
      </rPr>
      <t>CIFRA EN NEGATIVO</t>
    </r>
  </si>
  <si>
    <t xml:space="preserve">(6) Intereses devengados en el ejercicio. </t>
  </si>
  <si>
    <t>(7) Otros gastos financieros relacionados con la operación, por ejemplo, gastos de avales, gastos de formalización, etc.</t>
  </si>
  <si>
    <t>(8) Desglose del saldo a fin de ejercicio entre lo que vence a corto plazo (1 año) y lo que vence a largo plazo (más de un año)</t>
  </si>
  <si>
    <t>(9) Traspasos por consideración de subvención no reintegrable, y otros traspasos sin efecto monetario. (Movimientos al debe con signo positivo y al haber con signo negativo)</t>
  </si>
  <si>
    <t>DEUDA VIVA Y PREVISIÓN DE VENCIMIENTOS DE DEUDA</t>
  </si>
  <si>
    <t>Deuda viva</t>
  </si>
  <si>
    <t>Vencimientos previstos</t>
  </si>
  <si>
    <t>a 31 dic.</t>
  </si>
  <si>
    <t>ene</t>
  </si>
  <si>
    <t>feb</t>
  </si>
  <si>
    <t>mar</t>
  </si>
  <si>
    <t>Concepto</t>
  </si>
  <si>
    <t>Operaciones de crédito a corto plazo (Importe dispuesto pendiente de amortizar según Reglamento 479/2009, del Consejo de Europa)</t>
  </si>
  <si>
    <t>Operaciones de tesorería</t>
  </si>
  <si>
    <t>Otras operaciones de crédito a corto plazo</t>
  </si>
  <si>
    <t>Confirming</t>
  </si>
  <si>
    <t>Emisiones de deuda corto plazo</t>
  </si>
  <si>
    <t>Operaciones de crédito a largo plazo (Importe dispuesto pendiente de amortizar según Reglamento 479/2009, del Consejo de Europa)</t>
  </si>
  <si>
    <t>Operaciones con entidades de crédito residentes</t>
  </si>
  <si>
    <t>Operaciones con entidades de crédito no residentes o que no faciliten información al Banco de España (Incluidos BEI, fondos de inversión etc.)</t>
  </si>
  <si>
    <t>Deuda con el FFEL (*)</t>
  </si>
  <si>
    <t>Operaciones con Institutos Autonómicos de Finanzas no clasificados como AAPP</t>
  </si>
  <si>
    <t>Otras operaciones de crédito</t>
  </si>
  <si>
    <t>Emisiones de deuda largo plazo</t>
  </si>
  <si>
    <t>Arrendamiento financiero</t>
  </si>
  <si>
    <t>Asociaciones público-privadas</t>
  </si>
  <si>
    <t>Factoring sin recurso conforme a la Decisión de Eurostat 31 de julio de 2012</t>
  </si>
  <si>
    <t>Reestructuración de deuda comercial según Decisión de Eurostat 31 de julio de 2012</t>
  </si>
  <si>
    <t>Otras operaciones de deuda</t>
  </si>
  <si>
    <t>TOTAL DEUDA VIVA PDE (1)</t>
  </si>
  <si>
    <t>AVALES</t>
  </si>
  <si>
    <t>Capital vivo de las operaciones avaladas a entidades dependientes clasificadas como SNF</t>
  </si>
  <si>
    <t>Capital vivo de las operaciones avaladas a entidades dependientes pendientes de clasificar</t>
  </si>
  <si>
    <t>Capital vivo de las operaciones avaladas a otras entidades no dependientes</t>
  </si>
  <si>
    <t>RIESGO DEDUCIDO DE LOS AVALES (2)</t>
  </si>
  <si>
    <t>OPERACIONES DE CRÉDITO FORMALIZADAS Y NO DISPUESTAS (3)</t>
  </si>
  <si>
    <t>A corto plazo</t>
  </si>
  <si>
    <t>A largo plazo</t>
  </si>
  <si>
    <t>OPERACIONES DE CRÉDITO CON ADMINISTRACIONES PÚBLICAS (4)</t>
  </si>
  <si>
    <t>Con la Administración General del Estado</t>
  </si>
  <si>
    <t>Con la Comunidad Autónoma</t>
  </si>
  <si>
    <t>Con la Diputación Provincial, Cabildo o Consejo Insular u otras EELL</t>
  </si>
  <si>
    <t>Con otras Administraciones Públicas</t>
  </si>
  <si>
    <t>OTRAS DEUDAS (5)</t>
  </si>
  <si>
    <t>CAPITAL VIVO A EFECTOS DEL ARTÍCULO 53 DEL TRLRHL Y DE LA DF 31ª LPGE 2013 (1 + 2 + 3 + 4 + 5)</t>
  </si>
  <si>
    <t>Avales vivos al final del periodo (valor nominal)</t>
  </si>
  <si>
    <t>Riesgos potenciales que pueden afectar a la solvencia de la entidad local</t>
  </si>
  <si>
    <t>Derivados de sentencias judiciales consecuencia de recursos de tramitación</t>
  </si>
  <si>
    <t>Derivados de expedientes de aplazamiento o fraccionamiento de deudas con la AEAT</t>
  </si>
  <si>
    <t>Derivados de expedientes de aplazamiento o fraccionamiento de deudas con la Seguridad Social</t>
  </si>
  <si>
    <t>Otros</t>
  </si>
  <si>
    <t>FC-11</t>
  </si>
  <si>
    <r>
      <t>PERFIL DE VENCIMIENTO DE DEUDA EN LOS PRÓXIMOS 10 AÑOS.</t>
    </r>
    <r>
      <rPr>
        <b/>
        <sz val="10"/>
        <color theme="1"/>
        <rFont val="Arial"/>
        <family val="2"/>
      </rPr>
      <t xml:space="preserve"> (Total de operaciones contratadas y previsto contratar en el ejercicio presupuestado)</t>
    </r>
  </si>
  <si>
    <t>Vencimientos en el Ejercicio (incluyendo las operaciones previstas hasta 31/12/</t>
  </si>
  <si>
    <t>NOTA</t>
  </si>
  <si>
    <t>(*) Se incluirán los préstamos con el Fondo de Financiación a Entidades Locales, que incluye el Fondo de Impulso Económico, el Fondo de Ordenación y el Fondo en liquidación para la financiación de los Pagos a Proveedores de EELL. En en este ultimo caso, tanto si se han instrumentado través de una operación de endeudamiento como a través de retenciones en la participación de la entidad local en los tributos del Estado (PTE)</t>
  </si>
  <si>
    <t>FC-12</t>
  </si>
  <si>
    <t>PERSONAL</t>
  </si>
  <si>
    <t xml:space="preserve">I. SECTORES A CONSIDERAR. (Se cumplimentará un cuadro para cada uno de los sectores de actividad de la Entidad)    </t>
  </si>
  <si>
    <t>(Marcar con X)</t>
  </si>
  <si>
    <t>x</t>
  </si>
  <si>
    <t xml:space="preserve">  Administracion General y Resto de sectores</t>
  </si>
  <si>
    <t xml:space="preserve">  Sector Asistencia social y dependencia</t>
  </si>
  <si>
    <t xml:space="preserve">  Sector Sanitario (personal que presta servicio en las Instituciones del Servicio Nacional de Salud</t>
  </si>
  <si>
    <t xml:space="preserve">  Educativo Universitario (personal que presta servicio en universidades)</t>
  </si>
  <si>
    <t xml:space="preserve">  Educativo no Universitario (personal que presta servicio en centros de la docencia no universitaria</t>
  </si>
  <si>
    <t>II. DATOS DE PLANTILLAS Y RETRIBUCIONES DE UN DETERMINADO SECTOR</t>
  </si>
  <si>
    <t xml:space="preserve">  Número total de efectivos</t>
  </si>
  <si>
    <t xml:space="preserve">  Número total de gastos</t>
  </si>
  <si>
    <t>III. GASTOS DISTRIBUIDOS POR GRUPOS DE PERSONAL</t>
  </si>
  <si>
    <t>Retribuciones distribuidas por grupos</t>
  </si>
  <si>
    <t>Grupo de</t>
  </si>
  <si>
    <t>Número de</t>
  </si>
  <si>
    <t>Sueldos y salarios</t>
  </si>
  <si>
    <t>Retribución</t>
  </si>
  <si>
    <t>Planes de</t>
  </si>
  <si>
    <t xml:space="preserve">Otras </t>
  </si>
  <si>
    <t>Total</t>
  </si>
  <si>
    <t>efectivos</t>
  </si>
  <si>
    <t>(excepto variable)</t>
  </si>
  <si>
    <t>Variable</t>
  </si>
  <si>
    <t>Pensiones</t>
  </si>
  <si>
    <t>Retribuciones</t>
  </si>
  <si>
    <t>Órganos Gobierno</t>
  </si>
  <si>
    <t>Máximos responsables</t>
  </si>
  <si>
    <t>Resto personal directivo</t>
  </si>
  <si>
    <t>Laboral contrato indefinido</t>
  </si>
  <si>
    <t>Laboral duración determinada</t>
  </si>
  <si>
    <t>Otro personal</t>
  </si>
  <si>
    <t xml:space="preserve">Total </t>
  </si>
  <si>
    <t>IV. GASTOS COMUNES SIN DISTRIBUIR POR GRUPOS</t>
  </si>
  <si>
    <t>Acción social</t>
  </si>
  <si>
    <t>Seguridad Social</t>
  </si>
  <si>
    <t>V. OBSERVACIONES</t>
  </si>
  <si>
    <t>Esta hoja se cumplimentará con los mismos datos que resulten de la hoja 'Resumen Personal' del fichero "Desglose gastos personal".</t>
  </si>
  <si>
    <t xml:space="preserve">En el caso de tener contabilizados gastos de dietas de asistencia a los Consejos de Administración dentro del subgrupo 64 del P.G.C, estos NO deberán reflejarse en la presente plantilla, </t>
  </si>
  <si>
    <t>sin perjuicio de su imputación en el apartado 8. “Gastos de Personal” de FC-3_CPyG</t>
  </si>
  <si>
    <t>FC-13</t>
  </si>
  <si>
    <t>OPERACIONES INTERNAS</t>
  </si>
  <si>
    <t>TRANSACCIONES (de la cuenta de Pérdidas y Ganancias)</t>
  </si>
  <si>
    <t>Clasificación IGAE</t>
  </si>
  <si>
    <t>Tipo operación</t>
  </si>
  <si>
    <t>Ingresos (IGIC incluido)</t>
  </si>
  <si>
    <t>Gastos (IGIC incluido)</t>
  </si>
  <si>
    <t>ECIT o Entidades con participación íntegra del ECIT</t>
  </si>
  <si>
    <t>CABILDO INSULAR DE TENERIFE</t>
  </si>
  <si>
    <t>IASS</t>
  </si>
  <si>
    <t xml:space="preserve">CONSEJO INSULAR DE AGUAS </t>
  </si>
  <si>
    <t>O.A. MUSEOS Y CENTROS</t>
  </si>
  <si>
    <t xml:space="preserve">PATRONATO INSULAR DE MÚSICA </t>
  </si>
  <si>
    <t>TEA, TENERIFE ESPACIO DE LAS ARTES</t>
  </si>
  <si>
    <t>BALTEN</t>
  </si>
  <si>
    <t>Casino Taoro, S.A.</t>
  </si>
  <si>
    <t>Casino Playa de las Américas, S.A.</t>
  </si>
  <si>
    <t>Casino de Santa Cruz de Tenerife, S.A.</t>
  </si>
  <si>
    <t>Institución Ferial de Tenerife, S.A.</t>
  </si>
  <si>
    <t>Aportación</t>
  </si>
  <si>
    <t>Empresa Insular de Artesanía, S.A.</t>
  </si>
  <si>
    <t>Sociedad Insular para la Promoción de las personas con discapacidad, S.L. (SINPROMI).</t>
  </si>
  <si>
    <t>Auditorio de Tenerife, S.A.</t>
  </si>
  <si>
    <t>Gestión Insular para el Deporte, la Cultura y el Ocio, S.A. (IDECO)</t>
  </si>
  <si>
    <t>Fundación Canaria para el Avance de la Biomedicina y la Biotecnología (BIOAVANCE)</t>
  </si>
  <si>
    <t>Fundación Canaria Insular para la Formación, el Empleo y el Desarrollo Empresarial (FIFEDE).</t>
  </si>
  <si>
    <t>Entidades con participación mayoritaria del ECIT</t>
  </si>
  <si>
    <t>Instituto Tecnológico de Energías Renovables, S.A. (ITER)</t>
  </si>
  <si>
    <t>Cultivos y Tecnología Agraria de Tenerife, S.A.  (CULTESA)</t>
  </si>
  <si>
    <t>Parque Científico y Tecnológico de Tenerife, S.A. (PCTT – Intech)</t>
  </si>
  <si>
    <t>Instituto Tecnológico y de Telecom. de Tenerife, S.L. (IT3).</t>
  </si>
  <si>
    <t>Instituto Volcanológico de Canarias (INVOLCAN)</t>
  </si>
  <si>
    <t>Canarias Submarine Link S.L. (CANALINK)</t>
  </si>
  <si>
    <t>Instituto Médico Tinerfeño, S.A. (IMETISA)</t>
  </si>
  <si>
    <t>SPET Turismo de Tenerife, S.A.</t>
  </si>
  <si>
    <t>Cuota de asociado</t>
  </si>
  <si>
    <t>Transportes Interurbanos de Tenerife, S.A (TITSA)</t>
  </si>
  <si>
    <t>Fundación Canaria Tenerife Rural.</t>
  </si>
  <si>
    <t xml:space="preserve">Fundación Canaria, Agencia Insular de la Energía </t>
  </si>
  <si>
    <t>Entidades con participación minoritaria del ECIT</t>
  </si>
  <si>
    <t>Polígono Industrial de Granadilla.</t>
  </si>
  <si>
    <t>Eólicas de Tenerife, A.I.E.</t>
  </si>
  <si>
    <t>Polígono Industrial de Güímar, A.M.C.  (en extinción)</t>
  </si>
  <si>
    <t>Consorcio de Tributos de Tenerife.</t>
  </si>
  <si>
    <t>Consorcio Isla Baja.</t>
  </si>
  <si>
    <t>Consorcio de Prevención, Extinción de Incendios y Salvamento de la Isla de Tenerife.</t>
  </si>
  <si>
    <t>Consorcio Urbanístico para la Rehabilitación del Puerto de la Cruz.</t>
  </si>
  <si>
    <t>SALDOS (del Balance)</t>
  </si>
  <si>
    <t>Saldos deudores</t>
  </si>
  <si>
    <t>Saldos acreedores</t>
  </si>
  <si>
    <t>Deberá informarse en la memoria de actividades sobre la naturaleza de las operaciones que se prevé realizar. A este respecto el art. 117 del RD 500/1990 define como operaciones internas:</t>
  </si>
  <si>
    <t xml:space="preserve">   - Gastos e ingresos derivados de cesiones de personal</t>
  </si>
  <si>
    <t xml:space="preserve">   - Compraventas de bienes corrientes y de capital</t>
  </si>
  <si>
    <t xml:space="preserve">   - Prestaciones de servicios</t>
  </si>
  <si>
    <t xml:space="preserve">   - Tributos locales y precios públicos o privados exigibles por las Entidades cuyos presupuestos se consoliden</t>
  </si>
  <si>
    <t xml:space="preserve">   - Otros ingresos y gastos de similar naturaleza</t>
  </si>
  <si>
    <t xml:space="preserve">Las operaciones a incluir aquí serán las facturaciones entre entidades dependientes (con IGIC incluido), las facturaciones con el Cabildo (encargos), préstamos realizados entre entidades dependientes y aportaciones entre entidades dependientes si las hubiese. </t>
  </si>
  <si>
    <t>En ningún caso incluir las aportaciones y subvenciones del ECIT que han sido detalladas en FC-9</t>
  </si>
  <si>
    <t>FC-14</t>
  </si>
  <si>
    <t>ENCARGOS A MEDIOS PROPIOS PERSONIFICADOS DE LOS PODERES ADJUDICADORES</t>
  </si>
  <si>
    <t>RELACIÓN DE ENCARGOS DEL CABILDO INSULAR DE TENERIFE</t>
  </si>
  <si>
    <t>Poder</t>
  </si>
  <si>
    <t>Importe anualidad</t>
  </si>
  <si>
    <t>Adjudicador</t>
  </si>
  <si>
    <t>Área</t>
  </si>
  <si>
    <t>Encargo</t>
  </si>
  <si>
    <t>Duración</t>
  </si>
  <si>
    <t>FC-15</t>
  </si>
  <si>
    <t>CAPACIDAD / NECESIDAD DE FINANCIACIÓN DE LA ENTIDAD (Calculada conforme a las normas del Sistema Europeo de Cuentas)</t>
  </si>
  <si>
    <t>( +/- ) Importe</t>
  </si>
  <si>
    <t>contemplado</t>
  </si>
  <si>
    <t>Informe Evaluación</t>
  </si>
  <si>
    <t>I. Ingresos a efectos de Contabilidad Nacional</t>
  </si>
  <si>
    <t>Importe Neto Cifra Negocios</t>
  </si>
  <si>
    <t>Trabajos previstos realizar por la empresa para su activo</t>
  </si>
  <si>
    <t>Ingresos accesorios y otros de la gestión corriente (Inluido aportaciones de socios)</t>
  </si>
  <si>
    <t>Subvenciones y Transferencias corrientes</t>
  </si>
  <si>
    <t>Ingresos Financieros por intereses</t>
  </si>
  <si>
    <t>Ingresos de participaciones en instrumentos de patrimonio (dividendos)</t>
  </si>
  <si>
    <t>Ajuste de Ingresos de participaciones en instrumentos de patrimonio (dividendos)  (3)</t>
  </si>
  <si>
    <t>Celda no formulada (rellenar a mano por la entidad)</t>
  </si>
  <si>
    <t>Ingresos excepcionales</t>
  </si>
  <si>
    <t>Aportaciones patrimoniales (Aumento dotación fundacional / fondo social)</t>
  </si>
  <si>
    <t>Subvenciones de capital previsto recibir</t>
  </si>
  <si>
    <t>II. Gastos a efectos de Contabilidad Nacional</t>
  </si>
  <si>
    <t>Gtos. de Personal</t>
  </si>
  <si>
    <t>Otros gastos de explotación</t>
  </si>
  <si>
    <t>Gtos. Financieros y asimilados</t>
  </si>
  <si>
    <t>Impuesto de Sociedades</t>
  </si>
  <si>
    <t>Otros impuestos</t>
  </si>
  <si>
    <t>Gtos. Excepcionales</t>
  </si>
  <si>
    <t>Variaciones del Inmovilizado material e intangible; de inversiones inmobiliarias; de existencias</t>
  </si>
  <si>
    <t>Variación de existencias de productos terminados y en curso de fabricación de la cuenta de PyG (1)</t>
  </si>
  <si>
    <t xml:space="preserve">Aplicación de Provisiones </t>
  </si>
  <si>
    <t>Inversiones efectuadas por cuenta de Administraciones y Entidades Públicas (2)</t>
  </si>
  <si>
    <t xml:space="preserve">Ayudas, transferencias y subvenciones concedidas </t>
  </si>
  <si>
    <t xml:space="preserve">Capacidad / Necesidad de financiación de la entidad (Sistema Europeo Cuentas)    -     ( I + II ) </t>
  </si>
  <si>
    <t>(1) Este saldo aparecerá como mayor gasto en caso de reducción de existencias (-) y como menor gasto en caso de incremento (+)</t>
  </si>
  <si>
    <t>(2) En caso de encomiendas de ejecución de obra que se registre en cuentas diferentes al inmovilizado y existencias. Será el Volumen de obra certificada durante el ejercicio y que figure como derecho a cobrar.</t>
  </si>
  <si>
    <t xml:space="preserve">     Se trataría de encomiendas recibidas de Otras Administraciones Públicas que no sean del Cabildo Insular de Tenerife o bien procedente de las entidades dependientes del Cabildo no recogidas en el listado siguiente:</t>
  </si>
  <si>
    <t>Organismos Autónomos</t>
  </si>
  <si>
    <t>INSTITUTO INSULAR DE ATENCIÓN SOCIAL Y SOCIO SANITARIA (IASS)</t>
  </si>
  <si>
    <t>CONSEJO INSULAR DE AGUAS DE TENERIFE (CIAT)</t>
  </si>
  <si>
    <t>PATRONATO INSULAR DE MÚSICA (PIM)</t>
  </si>
  <si>
    <t>ORGANISMO AUTÓNOMO MUSEOS Y CENTROS (OAMC)</t>
  </si>
  <si>
    <t>Entidades Públicas Empresariales</t>
  </si>
  <si>
    <t>ENTIDAD INSULAR PARA EL DESARROLLO AGRÍCOLA, GANADERO Y PESQUERO DE TENERIFE (AGROTEIDE)</t>
  </si>
  <si>
    <t>Sociedades  íntegras</t>
  </si>
  <si>
    <t>EMPRESA INSULAR DE ARTESANÍA, S.A.</t>
  </si>
  <si>
    <t>SOCIEDAD INSULAR PARA LA PROMOCIÓN DE LAS PERSONAS CON DISCAPACIDAD, S.L. (SINPROMI)</t>
  </si>
  <si>
    <t>AUDITORIO DE TENERIFE , S.A.</t>
  </si>
  <si>
    <t>GESTIÓN INSULAR PARA EL DEPORTE, LA CULTURA Y EL OCIO, S.A. (IDECO)</t>
  </si>
  <si>
    <t>Sociedades mayoritarias</t>
  </si>
  <si>
    <t>SPET TURISMO DE TENERIFE, S.A.</t>
  </si>
  <si>
    <t>INSTITUTO MEDICO TINERFEÑO, S.A. (IMETISA)</t>
  </si>
  <si>
    <t>INSTITUTO VOLCANOLÓGICO DE CANARIAS, S.A. (INVOLCAN)</t>
  </si>
  <si>
    <t>PARQUE CIENTÍFICO Y TECNOLÓGICO DE TENERIFE, S.A. (PCTT)</t>
  </si>
  <si>
    <t>Fundaciones e Instituciones sin ánimo de lucro</t>
  </si>
  <si>
    <t>FUNDACIÓN CANARIA TENERIFE RURAL</t>
  </si>
  <si>
    <t>FUNDACIÓN CANARIA INSULAR PARA LA FORMACIÓN, EL EMPLEO Y EL DESARROLLO EMPRESARIAL (FIFEDE)</t>
  </si>
  <si>
    <t>FUNDACIÓN CANARIA, AGENCIA INSULAR DE LA ENERGÍA</t>
  </si>
  <si>
    <t>PARQUES EÓLICOS DE GRANADILLA, A.I.E.</t>
  </si>
  <si>
    <t>FUNDACIÓN FACTORÍA CANARIA DE LA INNOVACIÓN TURÍSTICA (FIT)</t>
  </si>
  <si>
    <t>FUNDACIÓN CANARIA PARA EL AVANCE DE LA BIOMEDICINA Y LA BIOTECNOLOGÍA (BIOAVANCE)</t>
  </si>
  <si>
    <t>Consorcios</t>
  </si>
  <si>
    <t>CONSORCIO DE TRIBUTOS DE TENERIFE</t>
  </si>
  <si>
    <t>CONSORCIO ISLA BAJA</t>
  </si>
  <si>
    <t>CONSORCIO URBANÍSTICO PARA LA REHABILITACIÓN DEL PUERTO DE LA CRUZ</t>
  </si>
  <si>
    <t>CONSORCIO DE PREVENCIÓN, EXTINCIÓN DE INCENDIOS Y SALVAMENTO DE LA ISLA DE TENERIFE</t>
  </si>
  <si>
    <t>(3) Debe ajustarse la cuantía de los dividendos recibidos que no proceda de Beneficio del Ejercicio Corriente Antes de Impuestos. (P. Ej. Distribución reservas, distribucioón de resultados no ordinarios)</t>
  </si>
  <si>
    <t>FC-16</t>
  </si>
  <si>
    <t>(2): "Se trataría de encomiendas recibidas de Otras Administraciones Públicas que no sean del Cabildo Insular de Tenerife o bien procedente de las entidades dependientes del Cabildo no recogidas en el listado siguiente</t>
  </si>
  <si>
    <t xml:space="preserve">Saldo inicial </t>
  </si>
  <si>
    <t>Saldo final</t>
  </si>
  <si>
    <t>OBSERVACIONES (1)</t>
  </si>
  <si>
    <t>A LARGO PLAZO</t>
  </si>
  <si>
    <t>(+) Dotaciones</t>
  </si>
  <si>
    <t>(-) Aplicaciones</t>
  </si>
  <si>
    <t>(-) Excesos</t>
  </si>
  <si>
    <t xml:space="preserve">(+/-) Traspasos (Reclasificaciones) </t>
  </si>
  <si>
    <t>(140) Provisión por retribuciones al personal</t>
  </si>
  <si>
    <t>(141) Provisión para impuestos</t>
  </si>
  <si>
    <t>(143) Provisión por desmantelamiento, retiro o rehabilitación del inmovilizado</t>
  </si>
  <si>
    <t>(142), (145), (146), (147) Otras Provisiones</t>
  </si>
  <si>
    <t>A CORTO PLAZO</t>
  </si>
  <si>
    <t>(5290) Provisión a corto plazo por retribuciones al personal</t>
  </si>
  <si>
    <t>(5291) Provisión a corto plazo para impuestos</t>
  </si>
  <si>
    <t>(5293) Provisión a corto plazo por desmantelamiento, retiro o rehabilitación del inmovilizado</t>
  </si>
  <si>
    <t>(499), (5292), (5295), (5296), (5297) Otras provisiones a corto plazo</t>
  </si>
  <si>
    <t>Se informará en este cuadro del movimiento en el periodo de las provisiones a largo plazo y corto plazo, con el desglose previsto en el Plan General de Contabilidad</t>
  </si>
  <si>
    <t>(1)  OBSERVACIONES: se recogera cualquier otra información que se considere relevante relativa a cada operación.</t>
  </si>
  <si>
    <t>FC-16_1</t>
  </si>
  <si>
    <t>FUENTES DE FINANCIACIÓN</t>
  </si>
  <si>
    <t>Importe s/criterio del aportante</t>
  </si>
  <si>
    <t>%</t>
  </si>
  <si>
    <t>1. Ventas de bienes y prestaciones de servicios dentro del sector público</t>
  </si>
  <si>
    <t>a.</t>
  </si>
  <si>
    <t>A la Entidad Local o a sus unidades dependientes</t>
  </si>
  <si>
    <t>b.</t>
  </si>
  <si>
    <t>A otras administraciones públicas</t>
  </si>
  <si>
    <t>c.</t>
  </si>
  <si>
    <t>A empresas y entes públicos</t>
  </si>
  <si>
    <t>2. Ventas de bienes y prestaciones de servicios al sector privado</t>
  </si>
  <si>
    <t>3. Transferencias y subvenciones recibidas</t>
  </si>
  <si>
    <t xml:space="preserve">    3.1. Transferencias y subvenciones recibidas de explotación</t>
  </si>
  <si>
    <t>De la Entidad Local o sus unidades dependientes</t>
  </si>
  <si>
    <t>De otras administraciones y entes públicos</t>
  </si>
  <si>
    <t>De la Unión Europea</t>
  </si>
  <si>
    <t xml:space="preserve">    3.2. Transferencias y subvenciones recibidas de capital</t>
  </si>
  <si>
    <t>4. Otros ingresos (especificar en su caso)</t>
  </si>
  <si>
    <t>Ingresos accesorios, siempre que procedan de una actividad productiva</t>
  </si>
  <si>
    <t>El aumento (+) o la disminución (-) de existencias de productos terminados y en curso</t>
  </si>
  <si>
    <t>TOTAL ( 1 + 2 + 3 + 4 )</t>
  </si>
  <si>
    <t>En ningún caso se considerarán las aportaciones genéricas del anexo III ni los restantes ingresos recogidos en la cuenta de pérdidas y ganancias, tales como, excesos de provisiones para riesgos y gastos, ingresos financieros, resultados extraordinarios, trabajos realizados por la empresa para su inmovilizado, ni la imputación a resultados de las subvenciones de capital.</t>
  </si>
  <si>
    <t>FC-90</t>
  </si>
  <si>
    <t>ESTRUCTURA PRESUPUESTARIA  -  ESTADO DE PREVISIÓN DE INGRESOS Y GASTOS</t>
  </si>
  <si>
    <t>Capítulos Ingresos</t>
  </si>
  <si>
    <t>Impuestos directos</t>
  </si>
  <si>
    <t>Impuestos indirectos</t>
  </si>
  <si>
    <t>Tasas y otros ingresos</t>
  </si>
  <si>
    <t>Transferencias corrientes</t>
  </si>
  <si>
    <t>Ingresos patrimoniales</t>
  </si>
  <si>
    <t xml:space="preserve">  Total Ingresos Corrientes</t>
  </si>
  <si>
    <t>Enajenación de inversiones</t>
  </si>
  <si>
    <t>Transferencias de capital</t>
  </si>
  <si>
    <t xml:space="preserve">  Total Ingresos de Capital</t>
  </si>
  <si>
    <t>VIII.</t>
  </si>
  <si>
    <t>Activos financieros</t>
  </si>
  <si>
    <t>IX.</t>
  </si>
  <si>
    <t>Pasivos financieros</t>
  </si>
  <si>
    <t xml:space="preserve">  Total Ingresos Financieros</t>
  </si>
  <si>
    <t xml:space="preserve">  TOTAL INGRESOS</t>
  </si>
  <si>
    <t xml:space="preserve">  Otros ingresos de la cuenta de pérdidas y ganancias</t>
  </si>
  <si>
    <t>Capítulos Gastos</t>
  </si>
  <si>
    <t>Gastos de Personal</t>
  </si>
  <si>
    <t>Compra de Bienes y Servicios</t>
  </si>
  <si>
    <t>Intereses</t>
  </si>
  <si>
    <t>Transferencias Corrientes</t>
  </si>
  <si>
    <t xml:space="preserve">  Total Gastos Corrientes</t>
  </si>
  <si>
    <t>Inversiones Reales</t>
  </si>
  <si>
    <t xml:space="preserve">  Total Gastos de Capital</t>
  </si>
  <si>
    <t xml:space="preserve">  Total Gastos Financieros</t>
  </si>
  <si>
    <t xml:space="preserve">  TOTAL GASTOS</t>
  </si>
  <si>
    <t xml:space="preserve">  Otros gastos de la cuenta de pérdidas y ganancias</t>
  </si>
  <si>
    <t xml:space="preserve">  A. DIFERENCIA INGRESOS - GASTOS</t>
  </si>
  <si>
    <t xml:space="preserve">  B. Ajuste VARIACIONES DE BALANCE</t>
  </si>
  <si>
    <t>RESULTADO DE LA COMPROBACIÓN  ( A + B )</t>
  </si>
  <si>
    <t>FC-92</t>
  </si>
  <si>
    <t>(PyG)</t>
  </si>
  <si>
    <t>(Balance)</t>
  </si>
  <si>
    <t>Ajuste (Manual)</t>
  </si>
  <si>
    <t>PRESUPUESTO</t>
  </si>
  <si>
    <t>Comentario ajuste manual</t>
  </si>
  <si>
    <t>Ventas y otros ingresos de la actividad mercantil</t>
  </si>
  <si>
    <t>Cuotas de asociados y afiliados</t>
  </si>
  <si>
    <t>Otros ingresos de explotación. a.1. Resultados de operaciones en común.</t>
  </si>
  <si>
    <t>Otros ingresos de explotación. a. 3. Ingresos por comisiones, servicios al personal y servicios diversos</t>
  </si>
  <si>
    <t>Detalle de ingresos y gastos excepcionales. INGRESOS 778 con efecto monetario</t>
  </si>
  <si>
    <t>Anticipos</t>
  </si>
  <si>
    <t>Introducir manualmente, efecto de anticipos significativos en la entidad que sea aplicable</t>
  </si>
  <si>
    <t>Subvenciones, donaciones y legados imputados al excedente del ejercicio (Detalle en FC-3.1)</t>
  </si>
  <si>
    <t>Ajuste de traspaso a no reintegrables (Ejercicio n-1 y anteriores) - Aport. Corrientes</t>
  </si>
  <si>
    <t>Otros ingresos de explotación. a. 2. Ingresos arrendamientos y propied. Industrial cedida explotación</t>
  </si>
  <si>
    <t>Ventas de inmoviilizado e inversiones inmobiliarias (celda K31)</t>
  </si>
  <si>
    <t>Ojo, solo vincula la baja del coste, no la pérdida o beneficio</t>
  </si>
  <si>
    <t>Subvenciones de capital concedidas. (celda I31)</t>
  </si>
  <si>
    <t>Emisión de instrumentos de patrimonio (celda H64)</t>
  </si>
  <si>
    <t>Ajuste de traspaso a no reintegrables (Ejercicio n-1 y anteriores)</t>
  </si>
  <si>
    <t>Enajenaciones o reembolsos. Inversiones empresas grupo y asociadas. Inversiones inst. patrimonio (celda H25)</t>
  </si>
  <si>
    <t>Enajenaciones o reembolsos. Inversiones empresas grupo y asociadas. Resto inversiones (celda H34)</t>
  </si>
  <si>
    <t>Enajenaciones o reembolsos. Inversiones en otras empresas. Inversiones inst. patrimonio (celda H49)</t>
  </si>
  <si>
    <t>Enajenaciones o reembolsos. Inversiones en otras empresas. Resto inversiones (celda H58)</t>
  </si>
  <si>
    <t>Disposiciones de capital de operaciones de crédito (celda M42)</t>
  </si>
  <si>
    <t>Disposiciones de operaciones de cobertura</t>
  </si>
  <si>
    <t>Introducir manualmente, en PAIF plantilla no está incluido</t>
  </si>
  <si>
    <t>Disposiciones de capital de obligaciones y otros valores negociables (A largo y a corto plazo)</t>
  </si>
  <si>
    <t>Disposiciones de capital de otros pasivos financieros (A largo y a corto plazo)</t>
  </si>
  <si>
    <t xml:space="preserve">Disposiciones de deudas con empresas del grupo a largo plazo y a corto plazo </t>
  </si>
  <si>
    <t>Disposiciones de deudas con características especiales a largo plazo y a corto plazo</t>
  </si>
  <si>
    <t xml:space="preserve">  TOTAL INGRESOS PRESUPUESTARIOS</t>
  </si>
  <si>
    <t>Si es &gt; 0</t>
  </si>
  <si>
    <t>Ojo posible duplicidad con altas de inmovilizado</t>
  </si>
  <si>
    <t>Ingresos Excepcionales sin efecto monetario</t>
  </si>
  <si>
    <t xml:space="preserve">  TOTAL INGRESOS (PRESUPUESTARIOS Y NO PRESUPUESTARIOS)</t>
  </si>
  <si>
    <t>Gasto de personal no detallado en FC-13 (no dietas)</t>
  </si>
  <si>
    <t>FC-3. FC-7</t>
  </si>
  <si>
    <t>Aprovisionamientos  -   Compras</t>
  </si>
  <si>
    <t>El dato formulado no son compras, incluye variación existencias</t>
  </si>
  <si>
    <t>20. Impuesto de beneficios</t>
  </si>
  <si>
    <t>Gastos imputados a reservas</t>
  </si>
  <si>
    <t>Detalle de ingresos y gastos excepcionales. GASTOS 678 con efecto monetario</t>
  </si>
  <si>
    <t>Gasto de personal no detallado en FC-13 (dietas)</t>
  </si>
  <si>
    <t>Adquisiciones de inmovilizado e inversiones inmobiliarias (celda F31)</t>
  </si>
  <si>
    <t>Intereses capitalizados (celda H31)</t>
  </si>
  <si>
    <t>Reducción de capital</t>
  </si>
  <si>
    <t>Formulado con variaciones de balance, comprobar por si hay ampliaciones y reducciones de capital en el ejercicio. En PAIF no hay detalle</t>
  </si>
  <si>
    <t>Adquisiciones. Inversiones empresas grupo y asociadas. Inversiones inst. patrimonio (celda G25)</t>
  </si>
  <si>
    <t>Adquisiciones. Inversiones empresas grupo y asociadas. Resto inversiones (celda G34)</t>
  </si>
  <si>
    <t>Adquisiciones. Inversiones en otras empresas. Inversiones inst. patrimonio (celda G49)</t>
  </si>
  <si>
    <t>Adquisiciones. Inversiones en otras empresas. Resto inversiones (celda H58)</t>
  </si>
  <si>
    <t>Amortizaciones de capital de operaciones de crédito (celda N43)</t>
  </si>
  <si>
    <t>Amortizaciones de operaciones de cobertura</t>
  </si>
  <si>
    <t>Amortizaciones de capital de obligaciones y otros valores negociables (A largo y a corto plazo)</t>
  </si>
  <si>
    <t>Amortizaciones de capital de otros pasivos financieros (A largo y a corto plazo)</t>
  </si>
  <si>
    <t xml:space="preserve">Amortizaciones de deudas con empresas del grupo a largo plazo y a corto plazo </t>
  </si>
  <si>
    <t>Amortizaciones de deudas con características especiales a largo plazo y a corto plazo</t>
  </si>
  <si>
    <t xml:space="preserve">  TOTAL GASTOS PRESUPUESTARIOS</t>
  </si>
  <si>
    <t xml:space="preserve">  A. RESULTADO PRESUPUESTARIO (INGRESOS PRESUPUESTARIOS - GASTOS PRESUPUESTARIOS)</t>
  </si>
  <si>
    <t>Si es &lt; 0</t>
  </si>
  <si>
    <t>Deterioro y resultado de enajenaciones de inmovilizado. Deterioro y pérdidas</t>
  </si>
  <si>
    <t>Variación del valor razonable en instrumentos financieros</t>
  </si>
  <si>
    <t>FC-3_1</t>
  </si>
  <si>
    <t>Gastos Excepcionales sin efecto monetario</t>
  </si>
  <si>
    <t>Diferencias en cambio</t>
  </si>
  <si>
    <t>TOTAL GASTOS PRESUPUESTARIOS Y NO PRESUPUESTARIOS</t>
  </si>
  <si>
    <t xml:space="preserve">  B. RESULTADO TOTAL (PRESUPUESTARIO Y NO PRESUPUESTARIO)</t>
  </si>
  <si>
    <t>Variaciones de BALANCE sin efecto en presupuesto</t>
  </si>
  <si>
    <t>(+/-)Provisión por desmantelamiento</t>
  </si>
  <si>
    <t xml:space="preserve">(-)Amortización del ejercicio </t>
  </si>
  <si>
    <t xml:space="preserve">(+/-)Deterioro o Reversión del deterioro </t>
  </si>
  <si>
    <t xml:space="preserve">(+/-) Otras variaciones (especificar en observaciones) </t>
  </si>
  <si>
    <t>Variación del activo corriente sin inversiones financieras a C/P</t>
  </si>
  <si>
    <t>FC-4 ACTIVO</t>
  </si>
  <si>
    <t>Activo por impuesto diferido</t>
  </si>
  <si>
    <t>Variación de Existencias</t>
  </si>
  <si>
    <t>Variación de usuarios y otros deudores de la actividad propia</t>
  </si>
  <si>
    <t>Variación de deudores comerciales y otras cuentas a cobrar</t>
  </si>
  <si>
    <t>Variación de periodificaciones a corto plazo</t>
  </si>
  <si>
    <t>Variación de Efectivo y otros activos liquidos equivalentes</t>
  </si>
  <si>
    <t>Variación del pasivo corriente - no corriente</t>
  </si>
  <si>
    <t>FC-4 PASIVO</t>
  </si>
  <si>
    <t>Variación de provisiones a largo plazo</t>
  </si>
  <si>
    <t>Variación de provisiones a corto plazo</t>
  </si>
  <si>
    <t>Variación de pasivos por impuesto diferido</t>
  </si>
  <si>
    <t>Variación de periodificaciones a largo plazo</t>
  </si>
  <si>
    <t>Variación de beneficiarios - acreedores</t>
  </si>
  <si>
    <t>Variación de acreedores comerciales y otras cuentas a pagar</t>
  </si>
  <si>
    <t xml:space="preserve">Variaciones sin efecto monetario </t>
  </si>
  <si>
    <t>Variación del patrimonio neto</t>
  </si>
  <si>
    <t>Subvenciones donaciones y legados</t>
  </si>
  <si>
    <t>FC-3 PyG</t>
  </si>
  <si>
    <t>Ajustes por cambios de criterio y ajustes por errores [ E) + F) ]</t>
  </si>
  <si>
    <t>Otras variaciones (detallar)</t>
  </si>
  <si>
    <t>FC-90_Detalle</t>
  </si>
  <si>
    <t>COMPROBACIONES</t>
  </si>
  <si>
    <t>De la cuenta de pérdidas y ganancias</t>
  </si>
  <si>
    <t>Resultado de la cuenta de pérdidas y ganancias (FC-3)</t>
  </si>
  <si>
    <t>Total resultado presupuestario y no presupuestario</t>
  </si>
  <si>
    <t>Variaciones en balance sin efecto presupuestario</t>
  </si>
  <si>
    <t>APORTACIONES ESPECÍFICAS y GENÉRICAS</t>
  </si>
  <si>
    <t>Aportaciones específicas de capital s/ criterio de la entidad concedente</t>
  </si>
  <si>
    <t>Aportaciones específicas corrientes s/ criterio de la entidad concedente</t>
  </si>
  <si>
    <t>Aportaciones genéricas s/ criterio de la entidad concedente</t>
  </si>
  <si>
    <t>TOTAL APORTACIONES DEL EJERCICIO S/ ENTIDAD CONCEDENTE</t>
  </si>
  <si>
    <t>Clasificación en estructura presupuestaria:</t>
  </si>
  <si>
    <t>Ingresos por pasivos financieros (solo deudas transformables en subvenciones)</t>
  </si>
  <si>
    <t xml:space="preserve">          Por aportaciones corrientes consideradas subvenciones reintegrables (deudas transformables en subvenciones)</t>
  </si>
  <si>
    <t xml:space="preserve">          Por aportaciones de capital consideradas subvenciones reintegrables (deudas transformables en subvenciones)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</si>
</sst>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mm\-yyyy"/>
    <numFmt numFmtId="165" formatCode="dd\-mm\-yy;@"/>
  </numFmts>
  <fonts count="73">
    <font>
      <sz val="12"/>
      <color theme="1"/>
      <name val="Helvetica"/>
      <family val="2"/>
    </font>
    <font>
      <sz val="12"/>
      <color theme="1"/>
      <name val="Arial"/>
      <family val="2"/>
    </font>
    <font>
      <sz val="12"/>
      <color theme="1"/>
      <name val="Arial"/>
      <family val="2"/>
      <charset val="134"/>
    </font>
    <font>
      <sz val="12"/>
      <color theme="1"/>
      <name val="Arial"/>
      <family val="2"/>
    </font>
    <font>
      <sz val="12"/>
      <color theme="1"/>
      <name val="Arial"/>
      <family val="2"/>
    </font>
    <font>
      <u/>
      <sz val="12"/>
      <color theme="10"/>
      <name val="Helvetica"/>
      <family val="2"/>
    </font>
    <font>
      <u/>
      <sz val="12"/>
      <color theme="11"/>
      <name val="Helvetic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8"/>
      <name val="Helvetica"/>
      <family val="2"/>
    </font>
    <font>
      <sz val="10"/>
      <color theme="0" tint="-0.3499862666707357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Helvetica"/>
      <family val="2"/>
    </font>
    <font>
      <sz val="12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2"/>
      <color rgb="FFFF000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14"/>
      <color rgb="FFFF0000"/>
      <name val="Arial"/>
      <family val="2"/>
    </font>
    <font>
      <b/>
      <i/>
      <sz val="12"/>
      <color theme="1"/>
      <name val="Arial"/>
      <family val="2"/>
    </font>
    <font>
      <sz val="10"/>
      <color rgb="FFFF0000"/>
      <name val="Arial"/>
      <family val="2"/>
    </font>
    <font>
      <b/>
      <i/>
      <sz val="14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4"/>
      <color rgb="FFFF0000"/>
      <name val="Arial"/>
      <family val="2"/>
    </font>
    <font>
      <sz val="9"/>
      <name val="Arial"/>
      <family val="2"/>
    </font>
    <font>
      <b/>
      <u/>
      <sz val="12"/>
      <color theme="1"/>
      <name val="Arial"/>
      <family val="2"/>
    </font>
    <font>
      <b/>
      <sz val="12"/>
      <color theme="0" tint="-0.34998626667073579"/>
      <name val="Arial"/>
      <family val="2"/>
    </font>
    <font>
      <sz val="18"/>
      <color theme="1"/>
      <name val="Arial"/>
      <family val="2"/>
    </font>
    <font>
      <sz val="11"/>
      <color rgb="FFFF0000"/>
      <name val="Arial"/>
      <family val="2"/>
    </font>
    <font>
      <sz val="11"/>
      <color rgb="FF0070C0"/>
      <name val="Arial"/>
      <family val="2"/>
    </font>
    <font>
      <sz val="11"/>
      <color rgb="FF00B050"/>
      <name val="Arial"/>
      <family val="2"/>
    </font>
    <font>
      <sz val="12"/>
      <color rgb="FF00B050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sz val="12"/>
      <color theme="9"/>
      <name val="Arial"/>
      <family val="2"/>
    </font>
    <font>
      <sz val="11"/>
      <color theme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6"/>
      <name val="Arial"/>
      <family val="2"/>
    </font>
    <font>
      <u/>
      <sz val="12"/>
      <color theme="1"/>
      <name val="Arial"/>
      <family val="2"/>
    </font>
    <font>
      <b/>
      <u/>
      <sz val="10"/>
      <color theme="1"/>
      <name val="Arial"/>
      <family val="2"/>
    </font>
    <font>
      <i/>
      <sz val="12"/>
      <color theme="1"/>
      <name val="Arial"/>
      <family val="2"/>
    </font>
    <font>
      <i/>
      <sz val="10"/>
      <color theme="1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i/>
      <sz val="9"/>
      <color theme="1"/>
      <name val="Arial"/>
      <family val="2"/>
    </font>
    <font>
      <b/>
      <sz val="12"/>
      <color rgb="FF0070C0"/>
      <name val="Arial"/>
      <family val="2"/>
    </font>
    <font>
      <b/>
      <sz val="10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0"/>
      <name val="Arial"/>
      <family val="2"/>
    </font>
    <font>
      <sz val="10"/>
      <color theme="0" tint="-0.49998474074526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1C1FF"/>
        <bgColor indexed="64"/>
      </patternFill>
    </fill>
    <fill>
      <patternFill patternType="solid">
        <fgColor rgb="FFABE3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C66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hair">
        <color theme="0" tint="-0.249977111117893"/>
      </bottom>
      <diagonal/>
    </border>
    <border>
      <left/>
      <right/>
      <top style="thin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thin">
        <color theme="0" tint="-0.249977111117893"/>
      </bottom>
      <diagonal/>
    </border>
    <border>
      <left/>
      <right/>
      <top style="hair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/>
      <diagonal/>
    </border>
    <border>
      <left/>
      <right/>
      <top style="hair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/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/>
      <top/>
      <bottom style="hair">
        <color theme="0" tint="-0.249977111117893"/>
      </bottom>
      <diagonal/>
    </border>
    <border>
      <left/>
      <right/>
      <top/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/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/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rgb="FFBFBFBF"/>
      </left>
      <right/>
      <top style="thin">
        <color rgb="FFBFBFBF"/>
      </top>
      <bottom style="medium">
        <color rgb="FFBFBFBF"/>
      </bottom>
      <diagonal/>
    </border>
    <border>
      <left/>
      <right style="thin">
        <color rgb="FFBFBFBF"/>
      </right>
      <top style="thin">
        <color rgb="FFBFBFBF"/>
      </top>
      <bottom style="medium">
        <color rgb="FFBFBFBF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ck">
        <color theme="0" tint="-0.249977111117893"/>
      </bottom>
      <diagonal/>
    </border>
    <border>
      <left/>
      <right/>
      <top style="thin">
        <color theme="0" tint="-0.249977111117893"/>
      </top>
      <bottom style="thick">
        <color theme="0" tint="-0.249977111117893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/>
      <top style="medium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34998626667073579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/>
      <diagonal/>
    </border>
    <border>
      <left/>
      <right style="medium">
        <color rgb="FFBFBFBF"/>
      </right>
      <top/>
      <bottom/>
      <diagonal/>
    </border>
    <border>
      <left style="thin">
        <color theme="0" tint="-0.249977111117893"/>
      </left>
      <right/>
      <top style="hair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/>
      <right style="medium">
        <color theme="0" tint="-0.249977111117893"/>
      </right>
      <top/>
      <bottom style="hair">
        <color theme="0" tint="-0.249977111117893"/>
      </bottom>
      <diagonal/>
    </border>
    <border>
      <left/>
      <right style="medium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 style="medium">
        <color theme="0" tint="-0.249977111117893"/>
      </right>
      <top style="hair">
        <color theme="0" tint="-0.249977111117893"/>
      </top>
      <bottom/>
      <diagonal/>
    </border>
    <border>
      <left/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/>
      <diagonal/>
    </border>
    <border>
      <left/>
      <right style="medium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ck">
        <color theme="0" tint="-0.249977111117893"/>
      </left>
      <right style="thin">
        <color theme="0" tint="-0.249977111117893"/>
      </right>
      <top/>
      <bottom/>
      <diagonal/>
    </border>
    <border>
      <left style="thick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ck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34998626667073579"/>
      </bottom>
      <diagonal/>
    </border>
    <border>
      <left/>
      <right/>
      <top style="thin">
        <color theme="0" tint="-0.249977111117893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hair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 style="medium">
        <color theme="0" tint="-0.249977111117893"/>
      </left>
      <right/>
      <top style="thin">
        <color theme="0" tint="-0.249977111117893"/>
      </top>
      <bottom/>
      <diagonal/>
    </border>
    <border>
      <left style="medium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6795556505021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6795556505021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1499679555650502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6795556505021"/>
      </bottom>
      <diagonal/>
    </border>
    <border>
      <left/>
      <right/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3743705557422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14996795556505021"/>
      </bottom>
      <diagonal/>
    </border>
    <border>
      <left/>
      <right style="thin">
        <color rgb="FFBFBFBF"/>
      </right>
      <top/>
      <bottom style="hair">
        <color rgb="FFBFBFBF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hair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</borders>
  <cellStyleXfs count="1091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24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352">
    <xf numFmtId="0" fontId="0" fillId="0" borderId="0" xfId="0"/>
    <xf numFmtId="0" fontId="7" fillId="2" borderId="0" xfId="0" applyFont="1" applyFill="1"/>
    <xf numFmtId="0" fontId="8" fillId="2" borderId="0" xfId="0" applyFont="1" applyFill="1"/>
    <xf numFmtId="0" fontId="8" fillId="0" borderId="0" xfId="0" applyFont="1"/>
    <xf numFmtId="0" fontId="10" fillId="5" borderId="0" xfId="0" applyFont="1" applyFill="1" applyAlignment="1">
      <alignment vertical="center"/>
    </xf>
    <xf numFmtId="0" fontId="7" fillId="2" borderId="1" xfId="0" applyFont="1" applyFill="1" applyBorder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1" fillId="2" borderId="0" xfId="0" applyFont="1" applyFill="1"/>
    <xf numFmtId="0" fontId="12" fillId="2" borderId="9" xfId="0" applyFont="1" applyFill="1" applyBorder="1"/>
    <xf numFmtId="0" fontId="7" fillId="2" borderId="10" xfId="0" applyFont="1" applyFill="1" applyBorder="1"/>
    <xf numFmtId="0" fontId="13" fillId="2" borderId="1" xfId="0" applyFont="1" applyFill="1" applyBorder="1"/>
    <xf numFmtId="0" fontId="13" fillId="2" borderId="1" xfId="0" applyFont="1" applyFill="1" applyBorder="1" applyAlignment="1">
      <alignment horizontal="center" wrapText="1"/>
    </xf>
    <xf numFmtId="0" fontId="14" fillId="2" borderId="4" xfId="0" applyFont="1" applyFill="1" applyBorder="1"/>
    <xf numFmtId="0" fontId="14" fillId="2" borderId="5" xfId="0" applyFont="1" applyFill="1" applyBorder="1"/>
    <xf numFmtId="0" fontId="14" fillId="2" borderId="0" xfId="0" applyFont="1" applyFill="1"/>
    <xf numFmtId="0" fontId="14" fillId="2" borderId="0" xfId="0" applyFont="1" applyFill="1" applyAlignment="1">
      <alignment horizontal="left"/>
    </xf>
    <xf numFmtId="164" fontId="14" fillId="2" borderId="0" xfId="0" applyNumberFormat="1" applyFont="1" applyFill="1" applyAlignment="1">
      <alignment horizontal="center"/>
    </xf>
    <xf numFmtId="0" fontId="15" fillId="2" borderId="0" xfId="0" applyFont="1" applyFill="1"/>
    <xf numFmtId="0" fontId="7" fillId="4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right"/>
    </xf>
    <xf numFmtId="0" fontId="18" fillId="2" borderId="0" xfId="0" applyFont="1" applyFill="1"/>
    <xf numFmtId="164" fontId="18" fillId="2" borderId="0" xfId="0" applyNumberFormat="1" applyFont="1" applyFill="1" applyAlignment="1">
      <alignment horizontal="center"/>
    </xf>
    <xf numFmtId="0" fontId="18" fillId="2" borderId="12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10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4" fontId="17" fillId="2" borderId="0" xfId="0" applyNumberFormat="1" applyFont="1" applyFill="1" applyAlignment="1">
      <alignment horizontal="right"/>
    </xf>
    <xf numFmtId="4" fontId="10" fillId="2" borderId="0" xfId="0" applyNumberFormat="1" applyFont="1" applyFill="1" applyAlignment="1">
      <alignment horizontal="left" vertical="center"/>
    </xf>
    <xf numFmtId="0" fontId="18" fillId="2" borderId="0" xfId="0" applyFont="1" applyFill="1" applyAlignment="1">
      <alignment horizontal="left"/>
    </xf>
    <xf numFmtId="4" fontId="18" fillId="2" borderId="0" xfId="0" applyNumberFormat="1" applyFont="1" applyFill="1" applyAlignment="1">
      <alignment horizontal="left"/>
    </xf>
    <xf numFmtId="0" fontId="18" fillId="2" borderId="6" xfId="0" applyFont="1" applyFill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4" fontId="18" fillId="2" borderId="7" xfId="0" applyNumberFormat="1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left"/>
    </xf>
    <xf numFmtId="0" fontId="19" fillId="2" borderId="0" xfId="0" applyFont="1" applyFill="1" applyAlignment="1">
      <alignment horizontal="left"/>
    </xf>
    <xf numFmtId="4" fontId="19" fillId="2" borderId="0" xfId="0" applyNumberFormat="1" applyFont="1" applyFill="1" applyAlignment="1">
      <alignment horizontal="left" vertical="center"/>
    </xf>
    <xf numFmtId="0" fontId="12" fillId="2" borderId="9" xfId="0" applyFont="1" applyFill="1" applyBorder="1" applyAlignment="1">
      <alignment horizontal="left"/>
    </xf>
    <xf numFmtId="0" fontId="10" fillId="5" borderId="0" xfId="0" applyFont="1" applyFill="1" applyAlignment="1">
      <alignment horizontal="left" vertical="center"/>
    </xf>
    <xf numFmtId="4" fontId="10" fillId="5" borderId="0" xfId="0" applyNumberFormat="1" applyFont="1" applyFill="1" applyAlignment="1">
      <alignment horizontal="left" vertical="center"/>
    </xf>
    <xf numFmtId="0" fontId="12" fillId="2" borderId="10" xfId="0" applyFont="1" applyFill="1" applyBorder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14" fillId="2" borderId="9" xfId="0" applyFont="1" applyFill="1" applyBorder="1" applyAlignment="1">
      <alignment horizontal="left"/>
    </xf>
    <xf numFmtId="0" fontId="14" fillId="2" borderId="10" xfId="0" applyFont="1" applyFill="1" applyBorder="1" applyAlignment="1">
      <alignment horizontal="left"/>
    </xf>
    <xf numFmtId="0" fontId="13" fillId="2" borderId="0" xfId="0" applyFont="1" applyFill="1" applyAlignment="1">
      <alignment horizontal="left" vertical="center"/>
    </xf>
    <xf numFmtId="0" fontId="18" fillId="2" borderId="11" xfId="0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left"/>
    </xf>
    <xf numFmtId="0" fontId="18" fillId="2" borderId="13" xfId="0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3" fontId="7" fillId="2" borderId="37" xfId="0" applyNumberFormat="1" applyFont="1" applyFill="1" applyBorder="1" applyAlignment="1">
      <alignment horizontal="center" vertical="center"/>
    </xf>
    <xf numFmtId="4" fontId="7" fillId="2" borderId="37" xfId="0" applyNumberFormat="1" applyFont="1" applyFill="1" applyBorder="1" applyAlignment="1">
      <alignment vertical="center"/>
    </xf>
    <xf numFmtId="0" fontId="19" fillId="2" borderId="10" xfId="0" applyFont="1" applyFill="1" applyBorder="1" applyAlignment="1">
      <alignment horizontal="left"/>
    </xf>
    <xf numFmtId="4" fontId="7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4" fontId="12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67" xfId="0" applyFont="1" applyFill="1" applyBorder="1" applyAlignment="1">
      <alignment horizontal="left" vertical="center"/>
    </xf>
    <xf numFmtId="0" fontId="7" fillId="2" borderId="68" xfId="0" applyFont="1" applyFill="1" applyBorder="1" applyAlignment="1">
      <alignment horizontal="left" vertical="center"/>
    </xf>
    <xf numFmtId="4" fontId="7" fillId="2" borderId="69" xfId="0" applyNumberFormat="1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/>
    </xf>
    <xf numFmtId="0" fontId="29" fillId="2" borderId="0" xfId="0" applyFont="1" applyFill="1" applyAlignment="1">
      <alignment horizontal="left" vertical="center"/>
    </xf>
    <xf numFmtId="4" fontId="29" fillId="2" borderId="0" xfId="0" applyNumberFormat="1" applyFont="1" applyFill="1" applyAlignment="1">
      <alignment horizontal="left" vertical="center"/>
    </xf>
    <xf numFmtId="0" fontId="27" fillId="2" borderId="0" xfId="0" applyFont="1" applyFill="1" applyAlignment="1">
      <alignment horizontal="left" vertical="center"/>
    </xf>
    <xf numFmtId="4" fontId="7" fillId="2" borderId="71" xfId="0" applyNumberFormat="1" applyFont="1" applyFill="1" applyBorder="1" applyAlignment="1">
      <alignment vertical="center"/>
    </xf>
    <xf numFmtId="4" fontId="7" fillId="2" borderId="66" xfId="0" applyNumberFormat="1" applyFont="1" applyFill="1" applyBorder="1" applyAlignment="1">
      <alignment vertical="center"/>
    </xf>
    <xf numFmtId="4" fontId="7" fillId="2" borderId="72" xfId="0" applyNumberFormat="1" applyFont="1" applyFill="1" applyBorder="1" applyAlignment="1">
      <alignment vertical="center"/>
    </xf>
    <xf numFmtId="4" fontId="7" fillId="2" borderId="73" xfId="0" applyNumberFormat="1" applyFont="1" applyFill="1" applyBorder="1" applyAlignment="1">
      <alignment vertical="center"/>
    </xf>
    <xf numFmtId="4" fontId="7" fillId="2" borderId="65" xfId="0" applyNumberFormat="1" applyFont="1" applyFill="1" applyBorder="1" applyAlignment="1">
      <alignment vertical="center"/>
    </xf>
    <xf numFmtId="4" fontId="7" fillId="2" borderId="69" xfId="0" applyNumberFormat="1" applyFont="1" applyFill="1" applyBorder="1" applyAlignment="1">
      <alignment vertical="center"/>
    </xf>
    <xf numFmtId="0" fontId="7" fillId="2" borderId="17" xfId="0" applyFont="1" applyFill="1" applyBorder="1" applyAlignment="1">
      <alignment horizontal="center" vertical="center"/>
    </xf>
    <xf numFmtId="4" fontId="7" fillId="2" borderId="95" xfId="0" applyNumberFormat="1" applyFont="1" applyFill="1" applyBorder="1" applyAlignment="1">
      <alignment vertical="center"/>
    </xf>
    <xf numFmtId="0" fontId="26" fillId="2" borderId="0" xfId="132" applyFont="1" applyFill="1" applyAlignment="1">
      <alignment horizontal="center" wrapText="1"/>
    </xf>
    <xf numFmtId="0" fontId="3" fillId="2" borderId="0" xfId="0" applyFont="1" applyFill="1" applyAlignment="1">
      <alignment horizontal="left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4" fontId="7" fillId="2" borderId="15" xfId="0" applyNumberFormat="1" applyFont="1" applyFill="1" applyBorder="1" applyAlignment="1">
      <alignment vertical="center"/>
    </xf>
    <xf numFmtId="0" fontId="13" fillId="3" borderId="51" xfId="0" applyFont="1" applyFill="1" applyBorder="1" applyAlignment="1">
      <alignment horizontal="left" vertical="center"/>
    </xf>
    <xf numFmtId="0" fontId="13" fillId="3" borderId="53" xfId="0" applyFont="1" applyFill="1" applyBorder="1" applyAlignment="1">
      <alignment horizontal="left" vertical="center"/>
    </xf>
    <xf numFmtId="0" fontId="7" fillId="3" borderId="70" xfId="0" applyFont="1" applyFill="1" applyBorder="1" applyAlignment="1">
      <alignment horizontal="center" vertical="center"/>
    </xf>
    <xf numFmtId="0" fontId="10" fillId="3" borderId="56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26" fillId="3" borderId="74" xfId="132" applyFont="1" applyFill="1" applyBorder="1" applyAlignment="1">
      <alignment horizontal="center" wrapText="1"/>
    </xf>
    <xf numFmtId="0" fontId="28" fillId="3" borderId="99" xfId="132" applyFont="1" applyFill="1" applyBorder="1" applyAlignment="1">
      <alignment horizontal="center" wrapText="1"/>
    </xf>
    <xf numFmtId="0" fontId="28" fillId="3" borderId="100" xfId="132" applyFont="1" applyFill="1" applyBorder="1" applyAlignment="1">
      <alignment horizontal="center" wrapText="1"/>
    </xf>
    <xf numFmtId="0" fontId="28" fillId="3" borderId="101" xfId="132" applyFont="1" applyFill="1" applyBorder="1" applyAlignment="1">
      <alignment horizontal="center" wrapText="1"/>
    </xf>
    <xf numFmtId="0" fontId="10" fillId="3" borderId="19" xfId="0" applyFont="1" applyFill="1" applyBorder="1" applyAlignment="1">
      <alignment horizontal="left" vertical="center"/>
    </xf>
    <xf numFmtId="0" fontId="26" fillId="3" borderId="41" xfId="132" applyFont="1" applyFill="1" applyBorder="1" applyAlignment="1">
      <alignment horizontal="center" wrapText="1"/>
    </xf>
    <xf numFmtId="0" fontId="10" fillId="3" borderId="56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center" vertical="center"/>
    </xf>
    <xf numFmtId="4" fontId="12" fillId="2" borderId="54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" fontId="7" fillId="2" borderId="0" xfId="0" applyNumberFormat="1" applyFont="1" applyFill="1" applyAlignment="1">
      <alignment vertical="center"/>
    </xf>
    <xf numFmtId="0" fontId="7" fillId="2" borderId="67" xfId="0" applyFont="1" applyFill="1" applyBorder="1" applyAlignment="1">
      <alignment horizontal="center" vertical="center"/>
    </xf>
    <xf numFmtId="0" fontId="7" fillId="3" borderId="51" xfId="0" applyFont="1" applyFill="1" applyBorder="1" applyAlignment="1">
      <alignment horizontal="left"/>
    </xf>
    <xf numFmtId="0" fontId="7" fillId="3" borderId="52" xfId="0" applyFont="1" applyFill="1" applyBorder="1" applyAlignment="1">
      <alignment horizontal="left"/>
    </xf>
    <xf numFmtId="0" fontId="26" fillId="3" borderId="53" xfId="132" applyFont="1" applyFill="1" applyBorder="1" applyAlignment="1">
      <alignment horizontal="center" wrapText="1"/>
    </xf>
    <xf numFmtId="4" fontId="7" fillId="2" borderId="85" xfId="0" applyNumberFormat="1" applyFont="1" applyFill="1" applyBorder="1" applyAlignment="1">
      <alignment vertical="center"/>
    </xf>
    <xf numFmtId="4" fontId="7" fillId="2" borderId="68" xfId="0" applyNumberFormat="1" applyFont="1" applyFill="1" applyBorder="1" applyAlignment="1">
      <alignment vertical="center"/>
    </xf>
    <xf numFmtId="4" fontId="14" fillId="2" borderId="0" xfId="0" applyNumberFormat="1" applyFont="1" applyFill="1" applyAlignment="1">
      <alignment horizontal="left"/>
    </xf>
    <xf numFmtId="4" fontId="7" fillId="2" borderId="86" xfId="0" applyNumberFormat="1" applyFont="1" applyFill="1" applyBorder="1" applyAlignment="1">
      <alignment vertical="center"/>
    </xf>
    <xf numFmtId="4" fontId="7" fillId="2" borderId="84" xfId="0" applyNumberFormat="1" applyFont="1" applyFill="1" applyBorder="1" applyAlignment="1">
      <alignment vertical="center"/>
    </xf>
    <xf numFmtId="0" fontId="26" fillId="3" borderId="105" xfId="132" applyFont="1" applyFill="1" applyBorder="1" applyAlignment="1">
      <alignment horizontal="center" wrapText="1"/>
    </xf>
    <xf numFmtId="0" fontId="26" fillId="3" borderId="106" xfId="132" applyFont="1" applyFill="1" applyBorder="1" applyAlignment="1">
      <alignment horizontal="center" wrapText="1"/>
    </xf>
    <xf numFmtId="0" fontId="26" fillId="3" borderId="107" xfId="132" applyFont="1" applyFill="1" applyBorder="1" applyAlignment="1">
      <alignment horizontal="center" wrapText="1"/>
    </xf>
    <xf numFmtId="0" fontId="18" fillId="2" borderId="0" xfId="0" applyFont="1" applyFill="1" applyAlignment="1">
      <alignment horizontal="left" vertical="center"/>
    </xf>
    <xf numFmtId="0" fontId="14" fillId="2" borderId="9" xfId="0" applyFont="1" applyFill="1" applyBorder="1" applyAlignment="1">
      <alignment horizontal="left" vertical="center"/>
    </xf>
    <xf numFmtId="0" fontId="7" fillId="3" borderId="52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left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74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26" fillId="3" borderId="107" xfId="132" applyFont="1" applyFill="1" applyBorder="1" applyAlignment="1">
      <alignment horizontal="center" vertical="center" wrapText="1"/>
    </xf>
    <xf numFmtId="0" fontId="26" fillId="3" borderId="101" xfId="132" applyFont="1" applyFill="1" applyBorder="1" applyAlignment="1">
      <alignment horizontal="center" vertical="center" wrapText="1"/>
    </xf>
    <xf numFmtId="0" fontId="26" fillId="3" borderId="108" xfId="132" applyFont="1" applyFill="1" applyBorder="1" applyAlignment="1">
      <alignment horizontal="center" vertical="center" wrapText="1"/>
    </xf>
    <xf numFmtId="4" fontId="32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7" fillId="4" borderId="0" xfId="0" applyFont="1" applyFill="1" applyAlignment="1">
      <alignment vertical="center" wrapText="1"/>
    </xf>
    <xf numFmtId="0" fontId="7" fillId="3" borderId="51" xfId="0" applyFont="1" applyFill="1" applyBorder="1" applyAlignment="1">
      <alignment horizontal="center" vertical="center"/>
    </xf>
    <xf numFmtId="0" fontId="7" fillId="3" borderId="54" xfId="0" applyFont="1" applyFill="1" applyBorder="1" applyAlignment="1">
      <alignment horizontal="center" vertical="center"/>
    </xf>
    <xf numFmtId="0" fontId="7" fillId="3" borderId="56" xfId="0" applyFont="1" applyFill="1" applyBorder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0" fontId="7" fillId="3" borderId="55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4" fontId="10" fillId="2" borderId="18" xfId="0" applyNumberFormat="1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center" vertical="center"/>
    </xf>
    <xf numFmtId="4" fontId="7" fillId="2" borderId="66" xfId="0" applyNumberFormat="1" applyFont="1" applyFill="1" applyBorder="1"/>
    <xf numFmtId="4" fontId="7" fillId="2" borderId="69" xfId="0" applyNumberFormat="1" applyFont="1" applyFill="1" applyBorder="1"/>
    <xf numFmtId="0" fontId="7" fillId="2" borderId="56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vertical="center"/>
    </xf>
    <xf numFmtId="0" fontId="7" fillId="2" borderId="20" xfId="0" applyFont="1" applyFill="1" applyBorder="1"/>
    <xf numFmtId="0" fontId="3" fillId="2" borderId="0" xfId="0" applyFont="1" applyFill="1"/>
    <xf numFmtId="0" fontId="7" fillId="3" borderId="18" xfId="0" applyFont="1" applyFill="1" applyBorder="1" applyAlignment="1">
      <alignment horizontal="center" vertical="center"/>
    </xf>
    <xf numFmtId="0" fontId="10" fillId="3" borderId="7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left"/>
    </xf>
    <xf numFmtId="0" fontId="7" fillId="2" borderId="10" xfId="0" applyFont="1" applyFill="1" applyBorder="1" applyAlignment="1">
      <alignment horizontal="left"/>
    </xf>
    <xf numFmtId="4" fontId="7" fillId="2" borderId="15" xfId="0" applyNumberFormat="1" applyFont="1" applyFill="1" applyBorder="1"/>
    <xf numFmtId="10" fontId="34" fillId="6" borderId="110" xfId="0" applyNumberFormat="1" applyFont="1" applyFill="1" applyBorder="1" applyAlignment="1">
      <alignment horizontal="right"/>
    </xf>
    <xf numFmtId="10" fontId="7" fillId="2" borderId="18" xfId="131" applyNumberFormat="1" applyFont="1" applyFill="1" applyBorder="1" applyAlignment="1">
      <alignment horizontal="right"/>
    </xf>
    <xf numFmtId="10" fontId="26" fillId="2" borderId="0" xfId="0" applyNumberFormat="1" applyFont="1" applyFill="1" applyAlignment="1">
      <alignment horizontal="right" vertical="center"/>
    </xf>
    <xf numFmtId="10" fontId="7" fillId="2" borderId="18" xfId="0" applyNumberFormat="1" applyFont="1" applyFill="1" applyBorder="1" applyAlignment="1">
      <alignment horizontal="right"/>
    </xf>
    <xf numFmtId="4" fontId="33" fillId="6" borderId="110" xfId="0" applyNumberFormat="1" applyFont="1" applyFill="1" applyBorder="1"/>
    <xf numFmtId="0" fontId="33" fillId="6" borderId="0" xfId="0" applyFont="1" applyFill="1" applyAlignment="1">
      <alignment horizontal="left"/>
    </xf>
    <xf numFmtId="4" fontId="33" fillId="6" borderId="0" xfId="0" applyNumberFormat="1" applyFont="1" applyFill="1"/>
    <xf numFmtId="0" fontId="3" fillId="2" borderId="0" xfId="0" applyFont="1" applyFill="1" applyAlignment="1">
      <alignment vertical="center"/>
    </xf>
    <xf numFmtId="0" fontId="13" fillId="3" borderId="27" xfId="0" applyFont="1" applyFill="1" applyBorder="1" applyAlignment="1">
      <alignment horizontal="center" vertical="center"/>
    </xf>
    <xf numFmtId="0" fontId="19" fillId="3" borderId="27" xfId="0" applyFont="1" applyFill="1" applyBorder="1" applyAlignment="1">
      <alignment horizontal="center" vertical="center"/>
    </xf>
    <xf numFmtId="4" fontId="13" fillId="3" borderId="30" xfId="0" applyNumberFormat="1" applyFont="1" applyFill="1" applyBorder="1" applyAlignment="1">
      <alignment horizontal="left" vertical="center"/>
    </xf>
    <xf numFmtId="4" fontId="13" fillId="3" borderId="31" xfId="0" applyNumberFormat="1" applyFont="1" applyFill="1" applyBorder="1" applyAlignment="1">
      <alignment horizontal="right" vertical="center"/>
    </xf>
    <xf numFmtId="0" fontId="13" fillId="3" borderId="31" xfId="0" applyFont="1" applyFill="1" applyBorder="1" applyAlignment="1">
      <alignment horizontal="left" vertical="center"/>
    </xf>
    <xf numFmtId="0" fontId="13" fillId="3" borderId="28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center" vertical="center"/>
    </xf>
    <xf numFmtId="0" fontId="14" fillId="3" borderId="33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4" fillId="3" borderId="34" xfId="0" applyFont="1" applyFill="1" applyBorder="1" applyAlignment="1">
      <alignment horizontal="left"/>
    </xf>
    <xf numFmtId="0" fontId="13" fillId="3" borderId="29" xfId="0" applyFont="1" applyFill="1" applyBorder="1" applyAlignment="1">
      <alignment horizontal="center" vertical="center"/>
    </xf>
    <xf numFmtId="0" fontId="18" fillId="0" borderId="9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10" xfId="0" applyFont="1" applyBorder="1" applyAlignment="1" applyProtection="1">
      <alignment horizontal="left"/>
      <protection locked="0"/>
    </xf>
    <xf numFmtId="0" fontId="10" fillId="0" borderId="9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10" xfId="0" applyFont="1" applyBorder="1" applyAlignment="1" applyProtection="1">
      <alignment horizontal="left" vertical="center"/>
      <protection locked="0"/>
    </xf>
    <xf numFmtId="0" fontId="15" fillId="0" borderId="132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133" xfId="0" applyFont="1" applyBorder="1" applyAlignment="1" applyProtection="1">
      <alignment horizontal="left"/>
      <protection locked="0"/>
    </xf>
    <xf numFmtId="164" fontId="14" fillId="2" borderId="4" xfId="0" applyNumberFormat="1" applyFont="1" applyFill="1" applyBorder="1" applyAlignment="1" applyProtection="1">
      <alignment horizontal="center"/>
      <protection locked="0"/>
    </xf>
    <xf numFmtId="164" fontId="14" fillId="2" borderId="5" xfId="0" applyNumberFormat="1" applyFont="1" applyFill="1" applyBorder="1" applyAlignment="1" applyProtection="1">
      <alignment horizontal="center"/>
      <protection locked="0"/>
    </xf>
    <xf numFmtId="0" fontId="18" fillId="2" borderId="4" xfId="0" applyFont="1" applyFill="1" applyBorder="1" applyProtection="1">
      <protection locked="0"/>
    </xf>
    <xf numFmtId="10" fontId="18" fillId="2" borderId="4" xfId="0" applyNumberFormat="1" applyFont="1" applyFill="1" applyBorder="1" applyAlignment="1" applyProtection="1">
      <alignment horizontal="center"/>
      <protection locked="0"/>
    </xf>
    <xf numFmtId="3" fontId="18" fillId="2" borderId="4" xfId="0" applyNumberFormat="1" applyFont="1" applyFill="1" applyBorder="1" applyProtection="1">
      <protection locked="0"/>
    </xf>
    <xf numFmtId="4" fontId="18" fillId="2" borderId="4" xfId="0" applyNumberFormat="1" applyFont="1" applyFill="1" applyBorder="1" applyProtection="1">
      <protection locked="0"/>
    </xf>
    <xf numFmtId="0" fontId="18" fillId="2" borderId="5" xfId="0" applyFont="1" applyFill="1" applyBorder="1" applyProtection="1">
      <protection locked="0"/>
    </xf>
    <xf numFmtId="10" fontId="18" fillId="2" borderId="5" xfId="0" applyNumberFormat="1" applyFont="1" applyFill="1" applyBorder="1" applyAlignment="1" applyProtection="1">
      <alignment horizontal="center"/>
      <protection locked="0"/>
    </xf>
    <xf numFmtId="3" fontId="18" fillId="2" borderId="5" xfId="0" applyNumberFormat="1" applyFont="1" applyFill="1" applyBorder="1" applyProtection="1">
      <protection locked="0"/>
    </xf>
    <xf numFmtId="4" fontId="18" fillId="2" borderId="5" xfId="0" applyNumberFormat="1" applyFont="1" applyFill="1" applyBorder="1" applyProtection="1">
      <protection locked="0"/>
    </xf>
    <xf numFmtId="4" fontId="7" fillId="2" borderId="42" xfId="0" applyNumberFormat="1" applyFont="1" applyFill="1" applyBorder="1" applyProtection="1">
      <protection locked="0"/>
    </xf>
    <xf numFmtId="4" fontId="7" fillId="2" borderId="29" xfId="0" applyNumberFormat="1" applyFont="1" applyFill="1" applyBorder="1" applyProtection="1">
      <protection locked="0"/>
    </xf>
    <xf numFmtId="4" fontId="7" fillId="2" borderId="71" xfId="0" applyNumberFormat="1" applyFont="1" applyFill="1" applyBorder="1" applyAlignment="1" applyProtection="1">
      <alignment vertical="center"/>
      <protection locked="0"/>
    </xf>
    <xf numFmtId="4" fontId="7" fillId="2" borderId="72" xfId="0" applyNumberFormat="1" applyFont="1" applyFill="1" applyBorder="1" applyAlignment="1" applyProtection="1">
      <alignment vertical="center"/>
      <protection locked="0"/>
    </xf>
    <xf numFmtId="4" fontId="7" fillId="2" borderId="73" xfId="0" applyNumberFormat="1" applyFont="1" applyFill="1" applyBorder="1" applyAlignment="1" applyProtection="1">
      <alignment vertical="center"/>
      <protection locked="0"/>
    </xf>
    <xf numFmtId="10" fontId="7" fillId="2" borderId="69" xfId="131" applyNumberFormat="1" applyFont="1" applyFill="1" applyBorder="1" applyAlignment="1">
      <alignment vertical="center"/>
    </xf>
    <xf numFmtId="4" fontId="7" fillId="2" borderId="99" xfId="0" applyNumberFormat="1" applyFont="1" applyFill="1" applyBorder="1" applyAlignment="1" applyProtection="1">
      <alignment vertical="center"/>
      <protection locked="0"/>
    </xf>
    <xf numFmtId="4" fontId="7" fillId="2" borderId="66" xfId="0" applyNumberFormat="1" applyFont="1" applyFill="1" applyBorder="1" applyAlignment="1" applyProtection="1">
      <alignment vertical="center"/>
      <protection locked="0"/>
    </xf>
    <xf numFmtId="4" fontId="7" fillId="2" borderId="104" xfId="0" applyNumberFormat="1" applyFont="1" applyFill="1" applyBorder="1" applyAlignment="1" applyProtection="1">
      <alignment vertical="center"/>
      <protection locked="0"/>
    </xf>
    <xf numFmtId="4" fontId="7" fillId="2" borderId="85" xfId="0" applyNumberFormat="1" applyFont="1" applyFill="1" applyBorder="1" applyAlignment="1" applyProtection="1">
      <alignment vertical="center"/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0" fontId="7" fillId="2" borderId="14" xfId="0" applyFont="1" applyFill="1" applyBorder="1"/>
    <xf numFmtId="0" fontId="7" fillId="2" borderId="2" xfId="0" applyFont="1" applyFill="1" applyBorder="1"/>
    <xf numFmtId="0" fontId="7" fillId="2" borderId="3" xfId="0" applyFont="1" applyFill="1" applyBorder="1"/>
    <xf numFmtId="0" fontId="14" fillId="2" borderId="4" xfId="0" applyFont="1" applyFill="1" applyBorder="1" applyProtection="1">
      <protection locked="0"/>
    </xf>
    <xf numFmtId="0" fontId="14" fillId="2" borderId="5" xfId="0" applyFont="1" applyFill="1" applyBorder="1" applyProtection="1">
      <protection locked="0"/>
    </xf>
    <xf numFmtId="10" fontId="18" fillId="2" borderId="4" xfId="0" applyNumberFormat="1" applyFont="1" applyFill="1" applyBorder="1" applyProtection="1">
      <protection locked="0"/>
    </xf>
    <xf numFmtId="10" fontId="18" fillId="2" borderId="5" xfId="0" applyNumberFormat="1" applyFont="1" applyFill="1" applyBorder="1" applyProtection="1">
      <protection locked="0"/>
    </xf>
    <xf numFmtId="4" fontId="7" fillId="2" borderId="86" xfId="0" applyNumberFormat="1" applyFont="1" applyFill="1" applyBorder="1" applyAlignment="1" applyProtection="1">
      <alignment vertical="center"/>
      <protection locked="0"/>
    </xf>
    <xf numFmtId="0" fontId="30" fillId="2" borderId="0" xfId="0" applyFont="1" applyFill="1" applyAlignment="1">
      <alignment horizontal="center" vertical="center"/>
    </xf>
    <xf numFmtId="4" fontId="7" fillId="2" borderId="103" xfId="0" applyNumberFormat="1" applyFont="1" applyFill="1" applyBorder="1" applyAlignment="1">
      <alignment horizontal="right" vertical="center"/>
    </xf>
    <xf numFmtId="0" fontId="14" fillId="3" borderId="51" xfId="0" applyFont="1" applyFill="1" applyBorder="1" applyAlignment="1">
      <alignment vertical="center"/>
    </xf>
    <xf numFmtId="0" fontId="14" fillId="3" borderId="53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9" fillId="2" borderId="9" xfId="0" applyFont="1" applyFill="1" applyBorder="1" applyAlignment="1">
      <alignment horizontal="center"/>
    </xf>
    <xf numFmtId="0" fontId="10" fillId="3" borderId="56" xfId="0" applyFont="1" applyFill="1" applyBorder="1" applyAlignment="1">
      <alignment vertical="center"/>
    </xf>
    <xf numFmtId="0" fontId="19" fillId="3" borderId="19" xfId="0" applyFont="1" applyFill="1" applyBorder="1" applyAlignment="1">
      <alignment horizontal="center" vertical="center"/>
    </xf>
    <xf numFmtId="4" fontId="19" fillId="3" borderId="15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7" fillId="2" borderId="16" xfId="0" applyFont="1" applyFill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0" fontId="7" fillId="2" borderId="15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36" fillId="2" borderId="9" xfId="0" applyFont="1" applyFill="1" applyBorder="1" applyAlignment="1">
      <alignment horizontal="left"/>
    </xf>
    <xf numFmtId="0" fontId="36" fillId="2" borderId="57" xfId="0" applyFont="1" applyFill="1" applyBorder="1" applyAlignment="1">
      <alignment vertical="center"/>
    </xf>
    <xf numFmtId="0" fontId="36" fillId="2" borderId="59" xfId="0" applyFont="1" applyFill="1" applyBorder="1" applyAlignment="1">
      <alignment vertical="center"/>
    </xf>
    <xf numFmtId="4" fontId="36" fillId="2" borderId="71" xfId="0" applyNumberFormat="1" applyFont="1" applyFill="1" applyBorder="1" applyAlignment="1">
      <alignment vertical="center"/>
    </xf>
    <xf numFmtId="0" fontId="36" fillId="2" borderId="71" xfId="0" applyFont="1" applyFill="1" applyBorder="1" applyAlignment="1">
      <alignment horizontal="left" vertical="center"/>
    </xf>
    <xf numFmtId="0" fontId="36" fillId="2" borderId="10" xfId="0" applyFont="1" applyFill="1" applyBorder="1" applyAlignment="1">
      <alignment horizontal="left"/>
    </xf>
    <xf numFmtId="0" fontId="36" fillId="2" borderId="0" xfId="0" applyFont="1" applyFill="1" applyAlignment="1">
      <alignment horizontal="left" vertical="center"/>
    </xf>
    <xf numFmtId="0" fontId="7" fillId="2" borderId="67" xfId="0" applyFont="1" applyFill="1" applyBorder="1" applyAlignment="1">
      <alignment vertical="center"/>
    </xf>
    <xf numFmtId="0" fontId="7" fillId="2" borderId="69" xfId="0" applyFont="1" applyFill="1" applyBorder="1" applyAlignment="1">
      <alignment vertical="center"/>
    </xf>
    <xf numFmtId="4" fontId="7" fillId="2" borderId="66" xfId="0" applyNumberFormat="1" applyFont="1" applyFill="1" applyBorder="1" applyAlignment="1">
      <alignment horizontal="left" vertical="center"/>
    </xf>
    <xf numFmtId="0" fontId="7" fillId="2" borderId="66" xfId="0" applyFont="1" applyFill="1" applyBorder="1" applyAlignment="1">
      <alignment horizontal="left" vertical="center"/>
    </xf>
    <xf numFmtId="4" fontId="19" fillId="3" borderId="70" xfId="0" applyNumberFormat="1" applyFont="1" applyFill="1" applyBorder="1" applyAlignment="1">
      <alignment horizontal="center" vertical="center"/>
    </xf>
    <xf numFmtId="1" fontId="10" fillId="3" borderId="74" xfId="0" applyNumberFormat="1" applyFont="1" applyFill="1" applyBorder="1" applyAlignment="1">
      <alignment horizontal="center" vertical="center"/>
    </xf>
    <xf numFmtId="4" fontId="7" fillId="2" borderId="67" xfId="0" applyNumberFormat="1" applyFont="1" applyFill="1" applyBorder="1" applyAlignment="1">
      <alignment horizontal="left" vertical="center"/>
    </xf>
    <xf numFmtId="4" fontId="7" fillId="2" borderId="68" xfId="0" applyNumberFormat="1" applyFont="1" applyFill="1" applyBorder="1" applyAlignment="1">
      <alignment horizontal="left" vertical="center"/>
    </xf>
    <xf numFmtId="4" fontId="7" fillId="2" borderId="18" xfId="0" applyNumberFormat="1" applyFont="1" applyFill="1" applyBorder="1" applyAlignment="1">
      <alignment horizontal="left" vertical="center"/>
    </xf>
    <xf numFmtId="0" fontId="29" fillId="2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 wrapText="1"/>
    </xf>
    <xf numFmtId="0" fontId="18" fillId="2" borderId="6" xfId="0" applyFont="1" applyFill="1" applyBorder="1"/>
    <xf numFmtId="0" fontId="18" fillId="2" borderId="7" xfId="0" applyFont="1" applyFill="1" applyBorder="1"/>
    <xf numFmtId="0" fontId="18" fillId="2" borderId="8" xfId="0" applyFont="1" applyFill="1" applyBorder="1"/>
    <xf numFmtId="0" fontId="18" fillId="2" borderId="9" xfId="0" applyFont="1" applyFill="1" applyBorder="1"/>
    <xf numFmtId="0" fontId="18" fillId="2" borderId="10" xfId="0" applyFont="1" applyFill="1" applyBorder="1"/>
    <xf numFmtId="0" fontId="18" fillId="2" borderId="0" xfId="0" applyFont="1" applyFill="1" applyAlignment="1">
      <alignment horizontal="center"/>
    </xf>
    <xf numFmtId="0" fontId="19" fillId="2" borderId="0" xfId="0" applyFont="1" applyFill="1"/>
    <xf numFmtId="0" fontId="4" fillId="2" borderId="0" xfId="0" applyFont="1" applyFill="1"/>
    <xf numFmtId="0" fontId="12" fillId="2" borderId="10" xfId="0" applyFont="1" applyFill="1" applyBorder="1"/>
    <xf numFmtId="0" fontId="24" fillId="2" borderId="1" xfId="0" applyFont="1" applyFill="1" applyBorder="1" applyAlignment="1">
      <alignment horizontal="left"/>
    </xf>
    <xf numFmtId="0" fontId="18" fillId="2" borderId="1" xfId="0" applyFont="1" applyFill="1" applyBorder="1"/>
    <xf numFmtId="0" fontId="18" fillId="2" borderId="1" xfId="0" applyFont="1" applyFill="1" applyBorder="1" applyAlignment="1">
      <alignment horizontal="left"/>
    </xf>
    <xf numFmtId="0" fontId="37" fillId="2" borderId="0" xfId="0" applyFont="1" applyFill="1" applyAlignment="1">
      <alignment horizontal="center"/>
    </xf>
    <xf numFmtId="0" fontId="18" fillId="2" borderId="9" xfId="0" applyFont="1" applyFill="1" applyBorder="1" applyAlignment="1">
      <alignment wrapText="1"/>
    </xf>
    <xf numFmtId="0" fontId="18" fillId="2" borderId="1" xfId="0" applyFont="1" applyFill="1" applyBorder="1" applyAlignment="1">
      <alignment wrapText="1"/>
    </xf>
    <xf numFmtId="0" fontId="18" fillId="2" borderId="1" xfId="0" applyFont="1" applyFill="1" applyBorder="1" applyAlignment="1">
      <alignment horizontal="center" wrapText="1"/>
    </xf>
    <xf numFmtId="0" fontId="24" fillId="2" borderId="1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/>
    </xf>
    <xf numFmtId="0" fontId="18" fillId="2" borderId="10" xfId="0" applyFont="1" applyFill="1" applyBorder="1" applyAlignment="1">
      <alignment wrapText="1"/>
    </xf>
    <xf numFmtId="0" fontId="18" fillId="2" borderId="0" xfId="0" applyFont="1" applyFill="1" applyAlignment="1">
      <alignment wrapText="1"/>
    </xf>
    <xf numFmtId="0" fontId="15" fillId="6" borderId="1" xfId="0" applyFont="1" applyFill="1" applyBorder="1" applyAlignment="1">
      <alignment horizontal="left"/>
    </xf>
    <xf numFmtId="0" fontId="18" fillId="2" borderId="0" xfId="0" applyFont="1" applyFill="1" applyAlignment="1">
      <alignment horizontal="center" wrapText="1"/>
    </xf>
    <xf numFmtId="0" fontId="18" fillId="2" borderId="0" xfId="0" quotePrefix="1" applyFont="1" applyFill="1" applyAlignment="1">
      <alignment horizontal="left"/>
    </xf>
    <xf numFmtId="0" fontId="18" fillId="2" borderId="11" xfId="0" applyFont="1" applyFill="1" applyBorder="1"/>
    <xf numFmtId="0" fontId="18" fillId="2" borderId="12" xfId="0" applyFont="1" applyFill="1" applyBorder="1"/>
    <xf numFmtId="0" fontId="18" fillId="2" borderId="13" xfId="0" applyFont="1" applyFill="1" applyBorder="1"/>
    <xf numFmtId="3" fontId="18" fillId="2" borderId="4" xfId="0" applyNumberFormat="1" applyFont="1" applyFill="1" applyBorder="1" applyAlignment="1" applyProtection="1">
      <alignment horizontal="center"/>
      <protection locked="0"/>
    </xf>
    <xf numFmtId="3" fontId="18" fillId="2" borderId="5" xfId="0" applyNumberFormat="1" applyFont="1" applyFill="1" applyBorder="1" applyAlignment="1" applyProtection="1">
      <alignment horizontal="center"/>
      <protection locked="0"/>
    </xf>
    <xf numFmtId="0" fontId="18" fillId="2" borderId="4" xfId="0" applyFont="1" applyFill="1" applyBorder="1" applyAlignment="1" applyProtection="1">
      <alignment horizontal="center"/>
      <protection locked="0"/>
    </xf>
    <xf numFmtId="0" fontId="18" fillId="2" borderId="5" xfId="0" applyFont="1" applyFill="1" applyBorder="1" applyAlignment="1" applyProtection="1">
      <alignment horizontal="center"/>
      <protection locked="0"/>
    </xf>
    <xf numFmtId="0" fontId="19" fillId="2" borderId="0" xfId="0" applyFont="1" applyFill="1" applyAlignment="1">
      <alignment horizontal="left" vertical="center"/>
    </xf>
    <xf numFmtId="0" fontId="18" fillId="2" borderId="0" xfId="0" applyFont="1" applyFill="1" applyAlignment="1">
      <alignment vertical="center"/>
    </xf>
    <xf numFmtId="0" fontId="18" fillId="2" borderId="0" xfId="0" quotePrefix="1" applyFont="1" applyFill="1" applyAlignment="1">
      <alignment vertical="center"/>
    </xf>
    <xf numFmtId="4" fontId="7" fillId="3" borderId="70" xfId="0" applyNumberFormat="1" applyFont="1" applyFill="1" applyBorder="1" applyAlignment="1">
      <alignment horizontal="center" vertical="center"/>
    </xf>
    <xf numFmtId="1" fontId="7" fillId="3" borderId="74" xfId="0" applyNumberFormat="1" applyFont="1" applyFill="1" applyBorder="1" applyAlignment="1">
      <alignment horizontal="center" vertical="center"/>
    </xf>
    <xf numFmtId="0" fontId="7" fillId="2" borderId="68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0" fontId="7" fillId="3" borderId="32" xfId="0" quotePrefix="1" applyFont="1" applyFill="1" applyBorder="1" applyAlignment="1">
      <alignment horizontal="left" vertical="center"/>
    </xf>
    <xf numFmtId="0" fontId="40" fillId="2" borderId="95" xfId="0" applyFont="1" applyFill="1" applyBorder="1" applyAlignment="1" applyProtection="1">
      <alignment horizontal="center" vertical="center"/>
      <protection locked="0"/>
    </xf>
    <xf numFmtId="0" fontId="7" fillId="2" borderId="57" xfId="0" applyFont="1" applyFill="1" applyBorder="1" applyAlignment="1">
      <alignment vertical="center"/>
    </xf>
    <xf numFmtId="0" fontId="7" fillId="2" borderId="59" xfId="0" applyFont="1" applyFill="1" applyBorder="1" applyAlignment="1">
      <alignment vertical="center"/>
    </xf>
    <xf numFmtId="0" fontId="7" fillId="2" borderId="71" xfId="0" applyFont="1" applyFill="1" applyBorder="1" applyAlignment="1" applyProtection="1">
      <alignment horizontal="left" vertical="center"/>
      <protection locked="0"/>
    </xf>
    <xf numFmtId="0" fontId="7" fillId="2" borderId="71" xfId="0" applyFont="1" applyFill="1" applyBorder="1" applyAlignment="1">
      <alignment horizontal="left" vertical="center"/>
    </xf>
    <xf numFmtId="0" fontId="7" fillId="2" borderId="60" xfId="0" applyFont="1" applyFill="1" applyBorder="1" applyAlignment="1">
      <alignment vertical="center"/>
    </xf>
    <xf numFmtId="0" fontId="7" fillId="2" borderId="62" xfId="0" applyFont="1" applyFill="1" applyBorder="1" applyAlignment="1">
      <alignment vertical="center"/>
    </xf>
    <xf numFmtId="0" fontId="7" fillId="2" borderId="72" xfId="0" applyFont="1" applyFill="1" applyBorder="1" applyAlignment="1">
      <alignment horizontal="left" vertical="center"/>
    </xf>
    <xf numFmtId="0" fontId="7" fillId="2" borderId="51" xfId="0" applyFont="1" applyFill="1" applyBorder="1" applyAlignment="1">
      <alignment vertical="center"/>
    </xf>
    <xf numFmtId="0" fontId="7" fillId="2" borderId="53" xfId="0" applyFont="1" applyFill="1" applyBorder="1" applyAlignment="1">
      <alignment vertical="center"/>
    </xf>
    <xf numFmtId="4" fontId="7" fillId="2" borderId="70" xfId="0" applyNumberFormat="1" applyFont="1" applyFill="1" applyBorder="1" applyAlignment="1" applyProtection="1">
      <alignment vertical="center"/>
      <protection locked="0"/>
    </xf>
    <xf numFmtId="0" fontId="7" fillId="2" borderId="70" xfId="0" applyFont="1" applyFill="1" applyBorder="1" applyAlignment="1" applyProtection="1">
      <alignment horizontal="left" vertical="center"/>
      <protection locked="0"/>
    </xf>
    <xf numFmtId="0" fontId="7" fillId="3" borderId="70" xfId="0" applyFont="1" applyFill="1" applyBorder="1" applyAlignment="1">
      <alignment horizontal="center"/>
    </xf>
    <xf numFmtId="0" fontId="7" fillId="3" borderId="41" xfId="0" applyFont="1" applyFill="1" applyBorder="1" applyAlignment="1">
      <alignment horizontal="center"/>
    </xf>
    <xf numFmtId="0" fontId="32" fillId="7" borderId="0" xfId="0" applyFont="1" applyFill="1" applyAlignment="1">
      <alignment vertical="center"/>
    </xf>
    <xf numFmtId="0" fontId="42" fillId="7" borderId="0" xfId="0" applyFont="1" applyFill="1" applyAlignment="1">
      <alignment vertical="center"/>
    </xf>
    <xf numFmtId="0" fontId="2" fillId="2" borderId="6" xfId="0" applyFont="1" applyFill="1" applyBorder="1"/>
    <xf numFmtId="0" fontId="29" fillId="2" borderId="94" xfId="0" applyFont="1" applyFill="1" applyBorder="1" applyAlignment="1" applyProtection="1">
      <alignment horizontal="left" vertical="center"/>
      <protection locked="0"/>
    </xf>
    <xf numFmtId="4" fontId="29" fillId="2" borderId="94" xfId="0" applyNumberFormat="1" applyFont="1" applyFill="1" applyBorder="1" applyAlignment="1" applyProtection="1">
      <alignment horizontal="left" vertical="center"/>
      <protection locked="0"/>
    </xf>
    <xf numFmtId="4" fontId="10" fillId="2" borderId="94" xfId="0" applyNumberFormat="1" applyFont="1" applyFill="1" applyBorder="1" applyAlignment="1" applyProtection="1">
      <alignment horizontal="left" vertical="center"/>
      <protection locked="0"/>
    </xf>
    <xf numFmtId="0" fontId="29" fillId="2" borderId="61" xfId="0" applyFont="1" applyFill="1" applyBorder="1" applyAlignment="1" applyProtection="1">
      <alignment horizontal="left" vertical="center"/>
      <protection locked="0"/>
    </xf>
    <xf numFmtId="4" fontId="29" fillId="2" borderId="61" xfId="0" applyNumberFormat="1" applyFont="1" applyFill="1" applyBorder="1" applyAlignment="1" applyProtection="1">
      <alignment horizontal="left" vertical="center"/>
      <protection locked="0"/>
    </xf>
    <xf numFmtId="4" fontId="10" fillId="2" borderId="61" xfId="0" applyNumberFormat="1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26" fillId="3" borderId="70" xfId="132" applyFont="1" applyFill="1" applyBorder="1" applyAlignment="1">
      <alignment horizontal="center" vertical="center" wrapText="1"/>
    </xf>
    <xf numFmtId="0" fontId="26" fillId="3" borderId="15" xfId="132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26" fillId="3" borderId="74" xfId="132" applyFont="1" applyFill="1" applyBorder="1" applyAlignment="1">
      <alignment horizontal="center" vertical="center" wrapText="1"/>
    </xf>
    <xf numFmtId="0" fontId="29" fillId="2" borderId="0" xfId="0" applyFont="1" applyFill="1" applyAlignment="1" applyProtection="1">
      <alignment horizontal="left" vertical="center"/>
      <protection locked="0"/>
    </xf>
    <xf numFmtId="4" fontId="29" fillId="2" borderId="0" xfId="0" applyNumberFormat="1" applyFont="1" applyFill="1" applyAlignment="1" applyProtection="1">
      <alignment horizontal="left" vertical="center"/>
      <protection locked="0"/>
    </xf>
    <xf numFmtId="4" fontId="10" fillId="2" borderId="0" xfId="0" applyNumberFormat="1" applyFont="1" applyFill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center"/>
      <protection locked="0"/>
    </xf>
    <xf numFmtId="0" fontId="29" fillId="2" borderId="0" xfId="0" quotePrefix="1" applyFont="1" applyFill="1" applyAlignment="1" applyProtection="1">
      <alignment horizontal="left" vertical="center"/>
      <protection locked="0"/>
    </xf>
    <xf numFmtId="3" fontId="27" fillId="2" borderId="0" xfId="0" applyNumberFormat="1" applyFont="1" applyFill="1" applyAlignment="1" applyProtection="1">
      <alignment horizontal="left" vertical="center"/>
      <protection locked="0"/>
    </xf>
    <xf numFmtId="0" fontId="14" fillId="0" borderId="9" xfId="0" applyFont="1" applyBorder="1" applyAlignment="1">
      <alignment horizontal="left"/>
    </xf>
    <xf numFmtId="0" fontId="29" fillId="0" borderId="0" xfId="0" quotePrefix="1" applyFont="1" applyAlignment="1" applyProtection="1">
      <alignment horizontal="left" vertical="center"/>
      <protection locked="0"/>
    </xf>
    <xf numFmtId="0" fontId="29" fillId="0" borderId="0" xfId="0" applyFont="1" applyAlignment="1" applyProtection="1">
      <alignment horizontal="left" vertical="center"/>
      <protection locked="0"/>
    </xf>
    <xf numFmtId="4" fontId="29" fillId="0" borderId="0" xfId="0" applyNumberFormat="1" applyFont="1" applyAlignment="1" applyProtection="1">
      <alignment horizontal="left" vertical="center"/>
      <protection locked="0"/>
    </xf>
    <xf numFmtId="4" fontId="10" fillId="0" borderId="0" xfId="0" applyNumberFormat="1" applyFont="1" applyAlignment="1" applyProtection="1">
      <alignment horizontal="left" vertical="center"/>
      <protection locked="0"/>
    </xf>
    <xf numFmtId="0" fontId="18" fillId="0" borderId="1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9" fillId="2" borderId="0" xfId="0" applyFont="1" applyFill="1" applyProtection="1">
      <protection locked="0"/>
    </xf>
    <xf numFmtId="0" fontId="15" fillId="0" borderId="0" xfId="0" applyFont="1"/>
    <xf numFmtId="0" fontId="1" fillId="2" borderId="0" xfId="0" applyFont="1" applyFill="1" applyAlignment="1">
      <alignment vertical="center"/>
    </xf>
    <xf numFmtId="0" fontId="1" fillId="2" borderId="9" xfId="0" applyFont="1" applyFill="1" applyBorder="1" applyAlignment="1">
      <alignment vertical="center"/>
    </xf>
    <xf numFmtId="0" fontId="1" fillId="2" borderId="72" xfId="0" applyFont="1" applyFill="1" applyBorder="1" applyAlignment="1">
      <alignment vertical="center"/>
    </xf>
    <xf numFmtId="0" fontId="1" fillId="3" borderId="72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26" fillId="3" borderId="18" xfId="132" applyFont="1" applyFill="1" applyBorder="1" applyAlignment="1">
      <alignment horizontal="center" vertical="center" wrapText="1"/>
    </xf>
    <xf numFmtId="0" fontId="26" fillId="3" borderId="137" xfId="132" applyFont="1" applyFill="1" applyBorder="1" applyAlignment="1">
      <alignment horizontal="center" vertical="center" wrapText="1"/>
    </xf>
    <xf numFmtId="0" fontId="26" fillId="3" borderId="19" xfId="132" applyFont="1" applyFill="1" applyBorder="1" applyAlignment="1">
      <alignment horizontal="center" vertical="center" wrapText="1"/>
    </xf>
    <xf numFmtId="4" fontId="7" fillId="2" borderId="142" xfId="0" applyNumberFormat="1" applyFont="1" applyFill="1" applyBorder="1" applyAlignment="1" applyProtection="1">
      <alignment vertical="center"/>
      <protection locked="0"/>
    </xf>
    <xf numFmtId="4" fontId="45" fillId="3" borderId="136" xfId="0" applyNumberFormat="1" applyFont="1" applyFill="1" applyBorder="1" applyAlignment="1">
      <alignment vertical="center"/>
    </xf>
    <xf numFmtId="4" fontId="45" fillId="3" borderId="138" xfId="0" applyNumberFormat="1" applyFont="1" applyFill="1" applyBorder="1" applyAlignment="1">
      <alignment vertical="center"/>
    </xf>
    <xf numFmtId="4" fontId="45" fillId="3" borderId="69" xfId="0" applyNumberFormat="1" applyFont="1" applyFill="1" applyBorder="1" applyAlignment="1">
      <alignment vertical="center"/>
    </xf>
    <xf numFmtId="0" fontId="26" fillId="3" borderId="155" xfId="132" applyFont="1" applyFill="1" applyBorder="1" applyAlignment="1">
      <alignment horizontal="center" vertical="center" wrapText="1"/>
    </xf>
    <xf numFmtId="0" fontId="26" fillId="3" borderId="55" xfId="132" applyFont="1" applyFill="1" applyBorder="1" applyAlignment="1">
      <alignment horizontal="center" vertical="center" wrapText="1"/>
    </xf>
    <xf numFmtId="4" fontId="14" fillId="2" borderId="98" xfId="0" applyNumberFormat="1" applyFont="1" applyFill="1" applyBorder="1" applyAlignment="1" applyProtection="1">
      <alignment horizontal="right" vertical="center"/>
      <protection locked="0"/>
    </xf>
    <xf numFmtId="4" fontId="13" fillId="2" borderId="98" xfId="0" applyNumberFormat="1" applyFont="1" applyFill="1" applyBorder="1" applyAlignment="1" applyProtection="1">
      <alignment horizontal="right" vertical="center"/>
      <protection locked="0"/>
    </xf>
    <xf numFmtId="4" fontId="7" fillId="2" borderId="98" xfId="0" applyNumberFormat="1" applyFont="1" applyFill="1" applyBorder="1" applyAlignment="1" applyProtection="1">
      <alignment horizontal="right" vertical="center"/>
      <protection locked="0"/>
    </xf>
    <xf numFmtId="4" fontId="7" fillId="0" borderId="71" xfId="0" applyNumberFormat="1" applyFont="1" applyBorder="1" applyAlignment="1" applyProtection="1">
      <alignment vertical="center"/>
      <protection locked="0"/>
    </xf>
    <xf numFmtId="4" fontId="13" fillId="12" borderId="98" xfId="0" applyNumberFormat="1" applyFont="1" applyFill="1" applyBorder="1" applyAlignment="1" applyProtection="1">
      <alignment horizontal="right" vertical="center"/>
      <protection locked="0"/>
    </xf>
    <xf numFmtId="0" fontId="1" fillId="2" borderId="94" xfId="0" applyFont="1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>
      <alignment vertical="center"/>
    </xf>
    <xf numFmtId="0" fontId="1" fillId="2" borderId="0" xfId="0" applyFont="1" applyFill="1"/>
    <xf numFmtId="0" fontId="40" fillId="2" borderId="0" xfId="0" applyFont="1" applyFill="1"/>
    <xf numFmtId="0" fontId="40" fillId="2" borderId="0" xfId="0" applyFont="1" applyFill="1" applyAlignment="1">
      <alignment vertical="center"/>
    </xf>
    <xf numFmtId="0" fontId="39" fillId="2" borderId="0" xfId="0" applyFont="1" applyFill="1"/>
    <xf numFmtId="0" fontId="14" fillId="2" borderId="0" xfId="0" applyFont="1" applyFill="1" applyAlignment="1">
      <alignment horizontal="center"/>
    </xf>
    <xf numFmtId="4" fontId="7" fillId="0" borderId="138" xfId="0" applyNumberFormat="1" applyFont="1" applyBorder="1" applyAlignment="1">
      <alignment vertical="center"/>
    </xf>
    <xf numFmtId="4" fontId="7" fillId="2" borderId="149" xfId="0" applyNumberFormat="1" applyFont="1" applyFill="1" applyBorder="1" applyAlignment="1">
      <alignment vertical="center"/>
    </xf>
    <xf numFmtId="0" fontId="1" fillId="2" borderId="57" xfId="0" applyFont="1" applyFill="1" applyBorder="1" applyAlignment="1" applyProtection="1">
      <alignment vertical="center"/>
      <protection locked="0"/>
    </xf>
    <xf numFmtId="0" fontId="13" fillId="3" borderId="70" xfId="0" applyFont="1" applyFill="1" applyBorder="1" applyAlignment="1">
      <alignment horizontal="center" vertical="center"/>
    </xf>
    <xf numFmtId="0" fontId="7" fillId="3" borderId="70" xfId="0" applyFont="1" applyFill="1" applyBorder="1" applyAlignment="1">
      <alignment horizontal="center" vertical="center" wrapText="1"/>
    </xf>
    <xf numFmtId="0" fontId="7" fillId="3" borderId="81" xfId="0" applyFont="1" applyFill="1" applyBorder="1" applyAlignment="1">
      <alignment horizontal="center" vertical="center"/>
    </xf>
    <xf numFmtId="0" fontId="7" fillId="3" borderId="65" xfId="0" applyFont="1" applyFill="1" applyBorder="1" applyAlignment="1">
      <alignment horizontal="center" vertical="center"/>
    </xf>
    <xf numFmtId="4" fontId="7" fillId="3" borderId="95" xfId="0" applyNumberFormat="1" applyFont="1" applyFill="1" applyBorder="1" applyAlignment="1">
      <alignment horizontal="right" vertical="center"/>
    </xf>
    <xf numFmtId="4" fontId="7" fillId="3" borderId="85" xfId="0" applyNumberFormat="1" applyFont="1" applyFill="1" applyBorder="1" applyAlignment="1">
      <alignment vertical="center"/>
    </xf>
    <xf numFmtId="0" fontId="18" fillId="2" borderId="9" xfId="0" applyFont="1" applyFill="1" applyBorder="1" applyAlignment="1">
      <alignment horizontal="left" vertical="center"/>
    </xf>
    <xf numFmtId="4" fontId="19" fillId="2" borderId="0" xfId="0" applyNumberFormat="1" applyFont="1" applyFill="1" applyAlignment="1">
      <alignment vertical="center"/>
    </xf>
    <xf numFmtId="0" fontId="18" fillId="2" borderId="0" xfId="0" quotePrefix="1" applyFont="1" applyFill="1" applyAlignment="1">
      <alignment horizontal="left" vertical="center"/>
    </xf>
    <xf numFmtId="4" fontId="18" fillId="2" borderId="0" xfId="0" applyNumberFormat="1" applyFont="1" applyFill="1" applyAlignment="1">
      <alignment horizontal="left" vertical="center"/>
    </xf>
    <xf numFmtId="4" fontId="1" fillId="2" borderId="95" xfId="0" applyNumberFormat="1" applyFont="1" applyFill="1" applyBorder="1" applyAlignment="1" applyProtection="1">
      <alignment horizontal="right" vertical="center"/>
      <protection locked="0"/>
    </xf>
    <xf numFmtId="4" fontId="18" fillId="2" borderId="0" xfId="0" applyNumberFormat="1" applyFont="1" applyFill="1" applyAlignment="1">
      <alignment horizontal="right"/>
    </xf>
    <xf numFmtId="4" fontId="1" fillId="2" borderId="0" xfId="0" applyNumberFormat="1" applyFont="1" applyFill="1" applyAlignment="1">
      <alignment horizontal="left" vertical="center"/>
    </xf>
    <xf numFmtId="4" fontId="1" fillId="2" borderId="0" xfId="0" applyNumberFormat="1" applyFont="1" applyFill="1" applyAlignment="1">
      <alignment horizontal="right" vertical="center"/>
    </xf>
    <xf numFmtId="4" fontId="18" fillId="2" borderId="6" xfId="0" applyNumberFormat="1" applyFont="1" applyFill="1" applyBorder="1" applyAlignment="1">
      <alignment horizontal="left"/>
    </xf>
    <xf numFmtId="4" fontId="18" fillId="2" borderId="7" xfId="0" applyNumberFormat="1" applyFont="1" applyFill="1" applyBorder="1" applyAlignment="1">
      <alignment horizontal="right"/>
    </xf>
    <xf numFmtId="4" fontId="18" fillId="2" borderId="8" xfId="0" applyNumberFormat="1" applyFont="1" applyFill="1" applyBorder="1" applyAlignment="1">
      <alignment horizontal="left"/>
    </xf>
    <xf numFmtId="4" fontId="18" fillId="2" borderId="9" xfId="0" applyNumberFormat="1" applyFont="1" applyFill="1" applyBorder="1" applyAlignment="1">
      <alignment horizontal="left"/>
    </xf>
    <xf numFmtId="4" fontId="7" fillId="2" borderId="0" xfId="0" applyNumberFormat="1" applyFont="1" applyFill="1" applyAlignment="1">
      <alignment horizontal="left"/>
    </xf>
    <xf numFmtId="4" fontId="18" fillId="2" borderId="10" xfId="0" applyNumberFormat="1" applyFont="1" applyFill="1" applyBorder="1" applyAlignment="1">
      <alignment horizontal="left"/>
    </xf>
    <xf numFmtId="4" fontId="19" fillId="2" borderId="0" xfId="0" applyNumberFormat="1" applyFont="1" applyFill="1" applyAlignment="1">
      <alignment horizontal="left"/>
    </xf>
    <xf numFmtId="4" fontId="1" fillId="2" borderId="9" xfId="0" applyNumberFormat="1" applyFont="1" applyFill="1" applyBorder="1" applyAlignment="1">
      <alignment horizontal="left"/>
    </xf>
    <xf numFmtId="4" fontId="7" fillId="4" borderId="0" xfId="0" applyNumberFormat="1" applyFont="1" applyFill="1" applyAlignment="1">
      <alignment horizontal="left" vertical="center"/>
    </xf>
    <xf numFmtId="4" fontId="1" fillId="2" borderId="10" xfId="0" applyNumberFormat="1" applyFont="1" applyFill="1" applyBorder="1" applyAlignment="1">
      <alignment horizontal="left"/>
    </xf>
    <xf numFmtId="4" fontId="1" fillId="2" borderId="0" xfId="0" applyNumberFormat="1" applyFont="1" applyFill="1" applyAlignment="1">
      <alignment horizontal="left"/>
    </xf>
    <xf numFmtId="4" fontId="12" fillId="2" borderId="9" xfId="0" applyNumberFormat="1" applyFont="1" applyFill="1" applyBorder="1" applyAlignment="1">
      <alignment horizontal="left"/>
    </xf>
    <xf numFmtId="4" fontId="10" fillId="5" borderId="0" xfId="0" applyNumberFormat="1" applyFont="1" applyFill="1" applyAlignment="1">
      <alignment horizontal="right" vertical="center"/>
    </xf>
    <xf numFmtId="4" fontId="12" fillId="2" borderId="10" xfId="0" applyNumberFormat="1" applyFont="1" applyFill="1" applyBorder="1" applyAlignment="1">
      <alignment horizontal="left"/>
    </xf>
    <xf numFmtId="4" fontId="14" fillId="2" borderId="9" xfId="0" applyNumberFormat="1" applyFont="1" applyFill="1" applyBorder="1" applyAlignment="1">
      <alignment horizontal="left"/>
    </xf>
    <xf numFmtId="4" fontId="1" fillId="2" borderId="0" xfId="0" applyNumberFormat="1" applyFont="1" applyFill="1" applyAlignment="1">
      <alignment horizontal="center" vertical="center"/>
    </xf>
    <xf numFmtId="4" fontId="46" fillId="2" borderId="9" xfId="0" applyNumberFormat="1" applyFont="1" applyFill="1" applyBorder="1" applyAlignment="1">
      <alignment horizontal="left" vertical="center"/>
    </xf>
    <xf numFmtId="4" fontId="10" fillId="3" borderId="18" xfId="0" applyNumberFormat="1" applyFont="1" applyFill="1" applyBorder="1" applyAlignment="1">
      <alignment horizontal="right" vertical="center"/>
    </xf>
    <xf numFmtId="4" fontId="46" fillId="2" borderId="10" xfId="0" applyNumberFormat="1" applyFont="1" applyFill="1" applyBorder="1" applyAlignment="1">
      <alignment horizontal="left" vertical="center"/>
    </xf>
    <xf numFmtId="4" fontId="46" fillId="2" borderId="0" xfId="0" applyNumberFormat="1" applyFont="1" applyFill="1" applyAlignment="1">
      <alignment horizontal="left" vertical="center"/>
    </xf>
    <xf numFmtId="4" fontId="10" fillId="2" borderId="0" xfId="0" applyNumberFormat="1" applyFont="1" applyFill="1" applyAlignment="1">
      <alignment vertical="center"/>
    </xf>
    <xf numFmtId="4" fontId="10" fillId="2" borderId="9" xfId="0" applyNumberFormat="1" applyFont="1" applyFill="1" applyBorder="1" applyAlignment="1">
      <alignment horizontal="left"/>
    </xf>
    <xf numFmtId="4" fontId="10" fillId="2" borderId="16" xfId="0" applyNumberFormat="1" applyFont="1" applyFill="1" applyBorder="1" applyAlignment="1">
      <alignment horizontal="center" vertical="center"/>
    </xf>
    <xf numFmtId="4" fontId="10" fillId="2" borderId="18" xfId="0" applyNumberFormat="1" applyFont="1" applyFill="1" applyBorder="1" applyAlignment="1">
      <alignment horizontal="right" vertical="center"/>
    </xf>
    <xf numFmtId="4" fontId="10" fillId="2" borderId="15" xfId="0" applyNumberFormat="1" applyFont="1" applyFill="1" applyBorder="1" applyAlignment="1">
      <alignment vertical="center"/>
    </xf>
    <xf numFmtId="4" fontId="10" fillId="2" borderId="10" xfId="0" applyNumberFormat="1" applyFont="1" applyFill="1" applyBorder="1" applyAlignment="1">
      <alignment horizontal="left"/>
    </xf>
    <xf numFmtId="4" fontId="10" fillId="2" borderId="0" xfId="0" applyNumberFormat="1" applyFont="1" applyFill="1" applyAlignment="1">
      <alignment horizontal="left"/>
    </xf>
    <xf numFmtId="4" fontId="47" fillId="2" borderId="93" xfId="0" applyNumberFormat="1" applyFont="1" applyFill="1" applyBorder="1" applyAlignment="1">
      <alignment horizontal="center" vertical="center"/>
    </xf>
    <xf numFmtId="4" fontId="48" fillId="2" borderId="98" xfId="0" applyNumberFormat="1" applyFont="1" applyFill="1" applyBorder="1" applyAlignment="1">
      <alignment horizontal="left" vertical="center"/>
    </xf>
    <xf numFmtId="4" fontId="48" fillId="2" borderId="98" xfId="0" applyNumberFormat="1" applyFont="1" applyFill="1" applyBorder="1" applyAlignment="1">
      <alignment horizontal="right" vertical="center"/>
    </xf>
    <xf numFmtId="4" fontId="48" fillId="3" borderId="98" xfId="0" applyNumberFormat="1" applyFont="1" applyFill="1" applyBorder="1" applyAlignment="1">
      <alignment horizontal="right" vertical="center"/>
    </xf>
    <xf numFmtId="4" fontId="14" fillId="2" borderId="95" xfId="0" applyNumberFormat="1" applyFont="1" applyFill="1" applyBorder="1" applyAlignment="1">
      <alignment vertical="center"/>
    </xf>
    <xf numFmtId="4" fontId="14" fillId="2" borderId="10" xfId="0" applyNumberFormat="1" applyFont="1" applyFill="1" applyBorder="1" applyAlignment="1">
      <alignment horizontal="left"/>
    </xf>
    <xf numFmtId="4" fontId="30" fillId="2" borderId="0" xfId="0" applyNumberFormat="1" applyFont="1" applyFill="1" applyAlignment="1">
      <alignment horizontal="left"/>
    </xf>
    <xf numFmtId="4" fontId="47" fillId="2" borderId="57" xfId="0" applyNumberFormat="1" applyFont="1" applyFill="1" applyBorder="1" applyAlignment="1">
      <alignment horizontal="center" vertical="center"/>
    </xf>
    <xf numFmtId="4" fontId="48" fillId="2" borderId="59" xfId="0" applyNumberFormat="1" applyFont="1" applyFill="1" applyBorder="1" applyAlignment="1">
      <alignment horizontal="left" vertical="center"/>
    </xf>
    <xf numFmtId="4" fontId="48" fillId="2" borderId="59" xfId="0" applyNumberFormat="1" applyFont="1" applyFill="1" applyBorder="1" applyAlignment="1">
      <alignment horizontal="right" vertical="center"/>
    </xf>
    <xf numFmtId="4" fontId="7" fillId="2" borderId="9" xfId="0" applyNumberFormat="1" applyFont="1" applyFill="1" applyBorder="1" applyAlignment="1">
      <alignment horizontal="left"/>
    </xf>
    <xf numFmtId="4" fontId="7" fillId="2" borderId="10" xfId="0" applyNumberFormat="1" applyFont="1" applyFill="1" applyBorder="1" applyAlignment="1">
      <alignment horizontal="left"/>
    </xf>
    <xf numFmtId="4" fontId="12" fillId="2" borderId="9" xfId="0" applyNumberFormat="1" applyFont="1" applyFill="1" applyBorder="1" applyAlignment="1">
      <alignment vertical="center"/>
    </xf>
    <xf numFmtId="4" fontId="10" fillId="3" borderId="18" xfId="0" applyNumberFormat="1" applyFont="1" applyFill="1" applyBorder="1" applyAlignment="1">
      <alignment vertical="center"/>
    </xf>
    <xf numFmtId="4" fontId="12" fillId="2" borderId="10" xfId="0" applyNumberFormat="1" applyFont="1" applyFill="1" applyBorder="1" applyAlignment="1">
      <alignment vertical="center"/>
    </xf>
    <xf numFmtId="4" fontId="12" fillId="2" borderId="0" xfId="0" applyNumberFormat="1" applyFont="1" applyFill="1" applyAlignment="1">
      <alignment vertical="center"/>
    </xf>
    <xf numFmtId="4" fontId="49" fillId="2" borderId="98" xfId="0" applyNumberFormat="1" applyFont="1" applyFill="1" applyBorder="1" applyAlignment="1">
      <alignment horizontal="left" vertical="center"/>
    </xf>
    <xf numFmtId="4" fontId="14" fillId="2" borderId="98" xfId="0" applyNumberFormat="1" applyFont="1" applyFill="1" applyBorder="1" applyAlignment="1">
      <alignment horizontal="right" vertical="center"/>
    </xf>
    <xf numFmtId="4" fontId="57" fillId="2" borderId="0" xfId="0" applyNumberFormat="1" applyFont="1" applyFill="1" applyAlignment="1">
      <alignment horizontal="left"/>
    </xf>
    <xf numFmtId="4" fontId="13" fillId="2" borderId="9" xfId="0" applyNumberFormat="1" applyFont="1" applyFill="1" applyBorder="1" applyAlignment="1">
      <alignment horizontal="left"/>
    </xf>
    <xf numFmtId="4" fontId="13" fillId="3" borderId="98" xfId="0" applyNumberFormat="1" applyFont="1" applyFill="1" applyBorder="1" applyAlignment="1">
      <alignment horizontal="right" vertical="center"/>
    </xf>
    <xf numFmtId="4" fontId="13" fillId="2" borderId="10" xfId="0" applyNumberFormat="1" applyFont="1" applyFill="1" applyBorder="1" applyAlignment="1">
      <alignment horizontal="left"/>
    </xf>
    <xf numFmtId="4" fontId="13" fillId="2" borderId="0" xfId="0" applyNumberFormat="1" applyFont="1" applyFill="1" applyAlignment="1">
      <alignment horizontal="left"/>
    </xf>
    <xf numFmtId="4" fontId="12" fillId="2" borderId="9" xfId="0" applyNumberFormat="1" applyFont="1" applyFill="1" applyBorder="1" applyAlignment="1">
      <alignment horizontal="left" vertical="center"/>
    </xf>
    <xf numFmtId="4" fontId="12" fillId="2" borderId="10" xfId="0" applyNumberFormat="1" applyFont="1" applyFill="1" applyBorder="1" applyAlignment="1">
      <alignment horizontal="left" vertical="center"/>
    </xf>
    <xf numFmtId="4" fontId="7" fillId="2" borderId="16" xfId="0" applyNumberFormat="1" applyFont="1" applyFill="1" applyBorder="1" applyAlignment="1">
      <alignment horizontal="center" vertical="center"/>
    </xf>
    <xf numFmtId="4" fontId="7" fillId="2" borderId="18" xfId="0" applyNumberFormat="1" applyFont="1" applyFill="1" applyBorder="1" applyAlignment="1">
      <alignment horizontal="right" vertical="center"/>
    </xf>
    <xf numFmtId="4" fontId="14" fillId="3" borderId="98" xfId="0" applyNumberFormat="1" applyFont="1" applyFill="1" applyBorder="1" applyAlignment="1">
      <alignment horizontal="right" vertical="center"/>
    </xf>
    <xf numFmtId="4" fontId="49" fillId="2" borderId="98" xfId="0" applyNumberFormat="1" applyFont="1" applyFill="1" applyBorder="1" applyAlignment="1">
      <alignment horizontal="right" vertical="center"/>
    </xf>
    <xf numFmtId="4" fontId="47" fillId="2" borderId="0" xfId="0" applyNumberFormat="1" applyFont="1" applyFill="1" applyAlignment="1">
      <alignment horizontal="left"/>
    </xf>
    <xf numFmtId="4" fontId="7" fillId="2" borderId="63" xfId="0" applyNumberFormat="1" applyFont="1" applyFill="1" applyBorder="1" applyAlignment="1">
      <alignment horizontal="center" vertical="center"/>
    </xf>
    <xf numFmtId="4" fontId="7" fillId="2" borderId="65" xfId="0" applyNumberFormat="1" applyFont="1" applyFill="1" applyBorder="1" applyAlignment="1">
      <alignment horizontal="left" vertical="center"/>
    </xf>
    <xf numFmtId="4" fontId="7" fillId="2" borderId="65" xfId="0" applyNumberFormat="1" applyFont="1" applyFill="1" applyBorder="1" applyAlignment="1">
      <alignment horizontal="right" vertical="center"/>
    </xf>
    <xf numFmtId="4" fontId="50" fillId="2" borderId="98" xfId="0" applyNumberFormat="1" applyFont="1" applyFill="1" applyBorder="1" applyAlignment="1">
      <alignment horizontal="right" vertical="center"/>
    </xf>
    <xf numFmtId="4" fontId="50" fillId="12" borderId="98" xfId="0" applyNumberFormat="1" applyFont="1" applyFill="1" applyBorder="1" applyAlignment="1">
      <alignment horizontal="right" vertical="center"/>
    </xf>
    <xf numFmtId="4" fontId="13" fillId="12" borderId="98" xfId="0" applyNumberFormat="1" applyFont="1" applyFill="1" applyBorder="1" applyAlignment="1">
      <alignment horizontal="right" vertical="center"/>
    </xf>
    <xf numFmtId="4" fontId="12" fillId="2" borderId="0" xfId="0" applyNumberFormat="1" applyFont="1" applyFill="1" applyAlignment="1">
      <alignment horizontal="left"/>
    </xf>
    <xf numFmtId="4" fontId="1" fillId="2" borderId="0" xfId="0" applyNumberFormat="1" applyFont="1" applyFill="1" applyAlignment="1">
      <alignment vertical="center"/>
    </xf>
    <xf numFmtId="4" fontId="21" fillId="2" borderId="9" xfId="0" applyNumberFormat="1" applyFont="1" applyFill="1" applyBorder="1" applyAlignment="1">
      <alignment horizontal="left"/>
    </xf>
    <xf numFmtId="4" fontId="51" fillId="8" borderId="110" xfId="0" applyNumberFormat="1" applyFont="1" applyFill="1" applyBorder="1" applyAlignment="1">
      <alignment horizontal="right"/>
    </xf>
    <xf numFmtId="4" fontId="21" fillId="2" borderId="10" xfId="0" applyNumberFormat="1" applyFont="1" applyFill="1" applyBorder="1" applyAlignment="1">
      <alignment horizontal="left"/>
    </xf>
    <xf numFmtId="4" fontId="21" fillId="2" borderId="0" xfId="0" applyNumberFormat="1" applyFont="1" applyFill="1" applyAlignment="1">
      <alignment horizontal="left"/>
    </xf>
    <xf numFmtId="4" fontId="10" fillId="9" borderId="18" xfId="0" applyNumberFormat="1" applyFont="1" applyFill="1" applyBorder="1" applyAlignment="1">
      <alignment horizontal="right" vertical="center"/>
    </xf>
    <xf numFmtId="4" fontId="47" fillId="2" borderId="0" xfId="0" applyNumberFormat="1" applyFont="1" applyFill="1" applyAlignment="1">
      <alignment horizontal="center" vertical="center"/>
    </xf>
    <xf numFmtId="4" fontId="1" fillId="2" borderId="9" xfId="0" applyNumberFormat="1" applyFont="1" applyFill="1" applyBorder="1" applyAlignment="1">
      <alignment horizontal="left" vertical="center"/>
    </xf>
    <xf numFmtId="4" fontId="33" fillId="10" borderId="110" xfId="0" applyNumberFormat="1" applyFont="1" applyFill="1" applyBorder="1" applyAlignment="1">
      <alignment horizontal="right" vertical="center"/>
    </xf>
    <xf numFmtId="4" fontId="1" fillId="2" borderId="10" xfId="0" applyNumberFormat="1" applyFont="1" applyFill="1" applyBorder="1" applyAlignment="1">
      <alignment horizontal="left" vertical="center"/>
    </xf>
    <xf numFmtId="4" fontId="23" fillId="2" borderId="0" xfId="0" applyNumberFormat="1" applyFont="1" applyFill="1" applyAlignment="1">
      <alignment horizontal="right" vertical="center"/>
    </xf>
    <xf numFmtId="4" fontId="33" fillId="6" borderId="0" xfId="0" applyNumberFormat="1" applyFont="1" applyFill="1" applyAlignment="1">
      <alignment horizontal="left"/>
    </xf>
    <xf numFmtId="4" fontId="33" fillId="6" borderId="0" xfId="0" applyNumberFormat="1" applyFont="1" applyFill="1" applyAlignment="1">
      <alignment horizontal="right"/>
    </xf>
    <xf numFmtId="4" fontId="11" fillId="3" borderId="18" xfId="0" applyNumberFormat="1" applyFont="1" applyFill="1" applyBorder="1" applyAlignment="1">
      <alignment horizontal="right" vertical="center"/>
    </xf>
    <xf numFmtId="4" fontId="11" fillId="3" borderId="15" xfId="0" applyNumberFormat="1" applyFont="1" applyFill="1" applyBorder="1" applyAlignment="1">
      <alignment horizontal="center" vertical="center"/>
    </xf>
    <xf numFmtId="4" fontId="10" fillId="2" borderId="63" xfId="0" applyNumberFormat="1" applyFont="1" applyFill="1" applyBorder="1" applyAlignment="1">
      <alignment horizontal="center" vertical="center"/>
    </xf>
    <xf numFmtId="4" fontId="10" fillId="2" borderId="65" xfId="0" applyNumberFormat="1" applyFont="1" applyFill="1" applyBorder="1" applyAlignment="1">
      <alignment horizontal="left" vertical="center"/>
    </xf>
    <xf numFmtId="4" fontId="10" fillId="2" borderId="65" xfId="0" applyNumberFormat="1" applyFont="1" applyFill="1" applyBorder="1" applyAlignment="1">
      <alignment horizontal="right" vertical="center"/>
    </xf>
    <xf numFmtId="4" fontId="53" fillId="2" borderId="9" xfId="0" applyNumberFormat="1" applyFont="1" applyFill="1" applyBorder="1" applyAlignment="1">
      <alignment horizontal="left"/>
    </xf>
    <xf numFmtId="4" fontId="54" fillId="2" borderId="93" xfId="0" applyNumberFormat="1" applyFont="1" applyFill="1" applyBorder="1" applyAlignment="1">
      <alignment horizontal="center" vertical="center"/>
    </xf>
    <xf numFmtId="4" fontId="54" fillId="2" borderId="98" xfId="0" applyNumberFormat="1" applyFont="1" applyFill="1" applyBorder="1" applyAlignment="1">
      <alignment horizontal="left" vertical="center"/>
    </xf>
    <xf numFmtId="4" fontId="54" fillId="3" borderId="98" xfId="0" applyNumberFormat="1" applyFont="1" applyFill="1" applyBorder="1" applyAlignment="1">
      <alignment horizontal="right" vertical="center"/>
    </xf>
    <xf numFmtId="4" fontId="53" fillId="2" borderId="10" xfId="0" applyNumberFormat="1" applyFont="1" applyFill="1" applyBorder="1" applyAlignment="1">
      <alignment horizontal="left"/>
    </xf>
    <xf numFmtId="4" fontId="53" fillId="2" borderId="0" xfId="0" applyNumberFormat="1" applyFont="1" applyFill="1" applyAlignment="1">
      <alignment horizontal="left"/>
    </xf>
    <xf numFmtId="4" fontId="48" fillId="3" borderId="55" xfId="0" applyNumberFormat="1" applyFont="1" applyFill="1" applyBorder="1" applyAlignment="1">
      <alignment horizontal="right" vertical="center"/>
    </xf>
    <xf numFmtId="4" fontId="30" fillId="6" borderId="0" xfId="0" applyNumberFormat="1" applyFont="1" applyFill="1" applyAlignment="1">
      <alignment horizontal="left"/>
    </xf>
    <xf numFmtId="4" fontId="33" fillId="8" borderId="110" xfId="0" applyNumberFormat="1" applyFont="1" applyFill="1" applyBorder="1" applyAlignment="1">
      <alignment horizontal="right" vertical="center"/>
    </xf>
    <xf numFmtId="4" fontId="10" fillId="3" borderId="111" xfId="0" applyNumberFormat="1" applyFont="1" applyFill="1" applyBorder="1" applyAlignment="1">
      <alignment vertical="center"/>
    </xf>
    <xf numFmtId="4" fontId="12" fillId="3" borderId="112" xfId="0" applyNumberFormat="1" applyFont="1" applyFill="1" applyBorder="1" applyAlignment="1">
      <alignment horizontal="center" vertical="center"/>
    </xf>
    <xf numFmtId="4" fontId="10" fillId="3" borderId="112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horizontal="right" vertical="center"/>
    </xf>
    <xf numFmtId="4" fontId="1" fillId="2" borderId="10" xfId="0" applyNumberFormat="1" applyFont="1" applyFill="1" applyBorder="1" applyAlignment="1">
      <alignment vertical="center"/>
    </xf>
    <xf numFmtId="4" fontId="47" fillId="2" borderId="56" xfId="0" applyNumberFormat="1" applyFont="1" applyFill="1" applyBorder="1" applyAlignment="1">
      <alignment horizontal="center" vertical="center"/>
    </xf>
    <xf numFmtId="4" fontId="48" fillId="2" borderId="19" xfId="0" applyNumberFormat="1" applyFont="1" applyFill="1" applyBorder="1" applyAlignment="1">
      <alignment horizontal="left" vertical="center"/>
    </xf>
    <xf numFmtId="4" fontId="48" fillId="3" borderId="19" xfId="0" applyNumberFormat="1" applyFont="1" applyFill="1" applyBorder="1" applyAlignment="1">
      <alignment horizontal="right" vertical="center"/>
    </xf>
    <xf numFmtId="4" fontId="14" fillId="2" borderId="73" xfId="0" applyNumberFormat="1" applyFont="1" applyFill="1" applyBorder="1" applyAlignment="1">
      <alignment vertical="center"/>
    </xf>
    <xf numFmtId="4" fontId="48" fillId="2" borderId="0" xfId="0" applyNumberFormat="1" applyFont="1" applyFill="1" applyAlignment="1">
      <alignment horizontal="left" vertical="center"/>
    </xf>
    <xf numFmtId="4" fontId="33" fillId="2" borderId="0" xfId="0" applyNumberFormat="1" applyFont="1" applyFill="1" applyAlignment="1">
      <alignment horizontal="left" vertical="center"/>
    </xf>
    <xf numFmtId="4" fontId="33" fillId="2" borderId="0" xfId="0" applyNumberFormat="1" applyFont="1" applyFill="1" applyAlignment="1">
      <alignment horizontal="right" vertical="center"/>
    </xf>
    <xf numFmtId="4" fontId="52" fillId="2" borderId="0" xfId="0" applyNumberFormat="1" applyFont="1" applyFill="1" applyAlignment="1">
      <alignment horizontal="right" vertical="center"/>
    </xf>
    <xf numFmtId="4" fontId="14" fillId="2" borderId="0" xfId="0" applyNumberFormat="1" applyFont="1" applyFill="1" applyAlignment="1">
      <alignment vertical="center"/>
    </xf>
    <xf numFmtId="4" fontId="10" fillId="11" borderId="18" xfId="0" applyNumberFormat="1" applyFont="1" applyFill="1" applyBorder="1" applyAlignment="1">
      <alignment horizontal="right" vertical="center"/>
    </xf>
    <xf numFmtId="4" fontId="56" fillId="2" borderId="71" xfId="0" applyNumberFormat="1" applyFont="1" applyFill="1" applyBorder="1" applyAlignment="1">
      <alignment horizontal="left" vertical="center"/>
    </xf>
    <xf numFmtId="4" fontId="48" fillId="3" borderId="94" xfId="0" applyNumberFormat="1" applyFont="1" applyFill="1" applyBorder="1" applyAlignment="1">
      <alignment horizontal="right" vertical="center"/>
    </xf>
    <xf numFmtId="4" fontId="56" fillId="2" borderId="95" xfId="0" applyNumberFormat="1" applyFont="1" applyFill="1" applyBorder="1" applyAlignment="1">
      <alignment horizontal="left" vertical="center"/>
    </xf>
    <xf numFmtId="4" fontId="56" fillId="2" borderId="98" xfId="0" applyNumberFormat="1" applyFont="1" applyFill="1" applyBorder="1" applyAlignment="1">
      <alignment horizontal="right" vertical="center"/>
    </xf>
    <xf numFmtId="4" fontId="13" fillId="2" borderId="95" xfId="0" applyNumberFormat="1" applyFont="1" applyFill="1" applyBorder="1" applyAlignment="1">
      <alignment vertical="center"/>
    </xf>
    <xf numFmtId="4" fontId="48" fillId="3" borderId="135" xfId="0" applyNumberFormat="1" applyFont="1" applyFill="1" applyBorder="1" applyAlignment="1">
      <alignment horizontal="right" vertical="center"/>
    </xf>
    <xf numFmtId="4" fontId="55" fillId="2" borderId="135" xfId="0" applyNumberFormat="1" applyFont="1" applyFill="1" applyBorder="1" applyAlignment="1">
      <alignment horizontal="right" vertical="center"/>
    </xf>
    <xf numFmtId="4" fontId="18" fillId="2" borderId="11" xfId="0" applyNumberFormat="1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right"/>
    </xf>
    <xf numFmtId="4" fontId="18" fillId="2" borderId="13" xfId="0" applyNumberFormat="1" applyFont="1" applyFill="1" applyBorder="1" applyAlignment="1">
      <alignment horizontal="left"/>
    </xf>
    <xf numFmtId="4" fontId="15" fillId="2" borderId="0" xfId="0" applyNumberFormat="1" applyFont="1" applyFill="1" applyAlignment="1">
      <alignment horizontal="left"/>
    </xf>
    <xf numFmtId="4" fontId="20" fillId="2" borderId="0" xfId="0" applyNumberFormat="1" applyFont="1" applyFill="1" applyAlignment="1">
      <alignment horizontal="left"/>
    </xf>
    <xf numFmtId="4" fontId="7" fillId="2" borderId="0" xfId="0" applyNumberFormat="1" applyFont="1" applyFill="1" applyAlignment="1">
      <alignment horizontal="right"/>
    </xf>
    <xf numFmtId="4" fontId="19" fillId="2" borderId="0" xfId="0" applyNumberFormat="1" applyFont="1" applyFill="1" applyAlignment="1">
      <alignment horizontal="right"/>
    </xf>
    <xf numFmtId="4" fontId="48" fillId="2" borderId="98" xfId="0" applyNumberFormat="1" applyFont="1" applyFill="1" applyBorder="1" applyAlignment="1" applyProtection="1">
      <alignment horizontal="right" vertical="center"/>
      <protection locked="0"/>
    </xf>
    <xf numFmtId="4" fontId="48" fillId="2" borderId="55" xfId="0" applyNumberFormat="1" applyFont="1" applyFill="1" applyBorder="1" applyAlignment="1" applyProtection="1">
      <alignment horizontal="right" vertical="center"/>
      <protection locked="0"/>
    </xf>
    <xf numFmtId="4" fontId="48" fillId="2" borderId="59" xfId="0" applyNumberFormat="1" applyFont="1" applyFill="1" applyBorder="1" applyAlignment="1" applyProtection="1">
      <alignment horizontal="right" vertical="center"/>
      <protection locked="0"/>
    </xf>
    <xf numFmtId="4" fontId="49" fillId="2" borderId="98" xfId="0" applyNumberFormat="1" applyFont="1" applyFill="1" applyBorder="1" applyAlignment="1" applyProtection="1">
      <alignment horizontal="right" vertical="center"/>
      <protection locked="0"/>
    </xf>
    <xf numFmtId="4" fontId="50" fillId="2" borderId="98" xfId="0" applyNumberFormat="1" applyFont="1" applyFill="1" applyBorder="1" applyAlignment="1" applyProtection="1">
      <alignment horizontal="right" vertical="center"/>
      <protection locked="0"/>
    </xf>
    <xf numFmtId="4" fontId="49" fillId="2" borderId="55" xfId="0" applyNumberFormat="1" applyFont="1" applyFill="1" applyBorder="1" applyAlignment="1" applyProtection="1">
      <alignment horizontal="right" vertical="center"/>
      <protection locked="0"/>
    </xf>
    <xf numFmtId="4" fontId="50" fillId="2" borderId="55" xfId="0" applyNumberFormat="1" applyFont="1" applyFill="1" applyBorder="1" applyAlignment="1" applyProtection="1">
      <alignment horizontal="right" vertical="center"/>
      <protection locked="0"/>
    </xf>
    <xf numFmtId="4" fontId="50" fillId="12" borderId="98" xfId="0" applyNumberFormat="1" applyFont="1" applyFill="1" applyBorder="1" applyAlignment="1" applyProtection="1">
      <alignment horizontal="right" vertical="center"/>
      <protection locked="0"/>
    </xf>
    <xf numFmtId="4" fontId="49" fillId="2" borderId="135" xfId="0" applyNumberFormat="1" applyFont="1" applyFill="1" applyBorder="1" applyAlignment="1" applyProtection="1">
      <alignment horizontal="right" vertical="center"/>
      <protection locked="0"/>
    </xf>
    <xf numFmtId="4" fontId="47" fillId="2" borderId="93" xfId="0" applyNumberFormat="1" applyFont="1" applyFill="1" applyBorder="1" applyAlignment="1" applyProtection="1">
      <alignment horizontal="center" vertical="center"/>
      <protection locked="0"/>
    </xf>
    <xf numFmtId="4" fontId="49" fillId="2" borderId="98" xfId="0" applyNumberFormat="1" applyFont="1" applyFill="1" applyBorder="1" applyAlignment="1" applyProtection="1">
      <alignment horizontal="left" vertical="center"/>
      <protection locked="0"/>
    </xf>
    <xf numFmtId="4" fontId="47" fillId="2" borderId="54" xfId="0" applyNumberFormat="1" applyFont="1" applyFill="1" applyBorder="1" applyAlignment="1" applyProtection="1">
      <alignment horizontal="center" vertical="center"/>
      <protection locked="0"/>
    </xf>
    <xf numFmtId="4" fontId="47" fillId="2" borderId="134" xfId="0" applyNumberFormat="1" applyFont="1" applyFill="1" applyBorder="1" applyAlignment="1" applyProtection="1">
      <alignment horizontal="center" vertical="center"/>
      <protection locked="0"/>
    </xf>
    <xf numFmtId="4" fontId="49" fillId="2" borderId="135" xfId="0" applyNumberFormat="1" applyFont="1" applyFill="1" applyBorder="1" applyAlignment="1" applyProtection="1">
      <alignment horizontal="left" vertical="center"/>
      <protection locked="0"/>
    </xf>
    <xf numFmtId="4" fontId="10" fillId="2" borderId="15" xfId="0" applyNumberFormat="1" applyFont="1" applyFill="1" applyBorder="1" applyAlignment="1" applyProtection="1">
      <alignment horizontal="left"/>
      <protection locked="0"/>
    </xf>
    <xf numFmtId="4" fontId="1" fillId="2" borderId="0" xfId="0" applyNumberFormat="1" applyFont="1" applyFill="1" applyAlignment="1" applyProtection="1">
      <alignment horizontal="left"/>
      <protection locked="0"/>
    </xf>
    <xf numFmtId="4" fontId="7" fillId="2" borderId="0" xfId="0" applyNumberFormat="1" applyFont="1" applyFill="1" applyAlignment="1" applyProtection="1">
      <alignment horizontal="left"/>
      <protection locked="0"/>
    </xf>
    <xf numFmtId="4" fontId="18" fillId="2" borderId="0" xfId="0" applyNumberFormat="1" applyFont="1" applyFill="1" applyAlignment="1" applyProtection="1">
      <alignment horizontal="left"/>
      <protection locked="0"/>
    </xf>
    <xf numFmtId="4" fontId="48" fillId="2" borderId="98" xfId="0" applyNumberFormat="1" applyFont="1" applyFill="1" applyBorder="1" applyAlignment="1" applyProtection="1">
      <alignment horizontal="left" vertical="center"/>
      <protection locked="0"/>
    </xf>
    <xf numFmtId="4" fontId="49" fillId="2" borderId="55" xfId="0" applyNumberFormat="1" applyFont="1" applyFill="1" applyBorder="1" applyAlignment="1" applyProtection="1">
      <alignment horizontal="left" vertical="center"/>
      <protection locked="0"/>
    </xf>
    <xf numFmtId="4" fontId="48" fillId="2" borderId="55" xfId="0" applyNumberFormat="1" applyFont="1" applyFill="1" applyBorder="1" applyAlignment="1" applyProtection="1">
      <alignment horizontal="left" vertical="center"/>
      <protection locked="0"/>
    </xf>
    <xf numFmtId="0" fontId="10" fillId="2" borderId="54" xfId="0" applyFont="1" applyFill="1" applyBorder="1" applyAlignment="1">
      <alignment horizontal="center"/>
    </xf>
    <xf numFmtId="0" fontId="10" fillId="2" borderId="0" xfId="0" applyFont="1" applyFill="1"/>
    <xf numFmtId="0" fontId="18" fillId="2" borderId="41" xfId="0" applyFont="1" applyFill="1" applyBorder="1"/>
    <xf numFmtId="0" fontId="7" fillId="2" borderId="118" xfId="0" applyFont="1" applyFill="1" applyBorder="1" applyAlignment="1">
      <alignment horizontal="center"/>
    </xf>
    <xf numFmtId="0" fontId="7" fillId="2" borderId="21" xfId="0" applyFont="1" applyFill="1" applyBorder="1"/>
    <xf numFmtId="4" fontId="7" fillId="2" borderId="42" xfId="0" applyNumberFormat="1" applyFont="1" applyFill="1" applyBorder="1"/>
    <xf numFmtId="0" fontId="1" fillId="2" borderId="119" xfId="0" applyFont="1" applyFill="1" applyBorder="1" applyAlignment="1">
      <alignment horizontal="center"/>
    </xf>
    <xf numFmtId="0" fontId="1" fillId="2" borderId="22" xfId="0" applyFont="1" applyFill="1" applyBorder="1"/>
    <xf numFmtId="4" fontId="1" fillId="2" borderId="43" xfId="0" applyNumberFormat="1" applyFont="1" applyFill="1" applyBorder="1" applyProtection="1">
      <protection locked="0"/>
    </xf>
    <xf numFmtId="0" fontId="1" fillId="2" borderId="120" xfId="0" applyFont="1" applyFill="1" applyBorder="1" applyAlignment="1">
      <alignment horizontal="center"/>
    </xf>
    <xf numFmtId="0" fontId="1" fillId="2" borderId="24" xfId="0" applyFont="1" applyFill="1" applyBorder="1"/>
    <xf numFmtId="4" fontId="1" fillId="2" borderId="125" xfId="0" applyNumberFormat="1" applyFont="1" applyFill="1" applyBorder="1" applyProtection="1">
      <protection locked="0"/>
    </xf>
    <xf numFmtId="0" fontId="1" fillId="2" borderId="23" xfId="0" applyFont="1" applyFill="1" applyBorder="1"/>
    <xf numFmtId="4" fontId="1" fillId="2" borderId="44" xfId="0" applyNumberFormat="1" applyFont="1" applyFill="1" applyBorder="1" applyProtection="1">
      <protection locked="0"/>
    </xf>
    <xf numFmtId="0" fontId="7" fillId="2" borderId="122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left"/>
    </xf>
    <xf numFmtId="4" fontId="7" fillId="2" borderId="124" xfId="0" applyNumberFormat="1" applyFont="1" applyFill="1" applyBorder="1"/>
    <xf numFmtId="0" fontId="7" fillId="2" borderId="54" xfId="0" applyFont="1" applyFill="1" applyBorder="1" applyAlignment="1">
      <alignment horizontal="center"/>
    </xf>
    <xf numFmtId="2" fontId="1" fillId="2" borderId="123" xfId="0" applyNumberFormat="1" applyFont="1" applyFill="1" applyBorder="1" applyAlignment="1">
      <alignment horizontal="center"/>
    </xf>
    <xf numFmtId="2" fontId="1" fillId="2" borderId="25" xfId="0" applyNumberFormat="1" applyFont="1" applyFill="1" applyBorder="1"/>
    <xf numFmtId="4" fontId="7" fillId="2" borderId="40" xfId="0" applyNumberFormat="1" applyFont="1" applyFill="1" applyBorder="1"/>
    <xf numFmtId="0" fontId="1" fillId="2" borderId="54" xfId="0" applyFont="1" applyFill="1" applyBorder="1" applyAlignment="1">
      <alignment horizontal="center"/>
    </xf>
    <xf numFmtId="0" fontId="18" fillId="3" borderId="51" xfId="0" applyFont="1" applyFill="1" applyBorder="1"/>
    <xf numFmtId="0" fontId="18" fillId="3" borderId="52" xfId="0" applyFont="1" applyFill="1" applyBorder="1"/>
    <xf numFmtId="0" fontId="11" fillId="3" borderId="54" xfId="0" applyFont="1" applyFill="1" applyBorder="1"/>
    <xf numFmtId="0" fontId="18" fillId="3" borderId="0" xfId="0" applyFont="1" applyFill="1"/>
    <xf numFmtId="0" fontId="12" fillId="2" borderId="0" xfId="0" applyFont="1" applyFill="1"/>
    <xf numFmtId="0" fontId="18" fillId="2" borderId="28" xfId="0" applyFont="1" applyFill="1" applyBorder="1"/>
    <xf numFmtId="0" fontId="18" fillId="2" borderId="115" xfId="0" applyFont="1" applyFill="1" applyBorder="1"/>
    <xf numFmtId="0" fontId="18" fillId="2" borderId="55" xfId="0" applyFont="1" applyFill="1" applyBorder="1"/>
    <xf numFmtId="0" fontId="10" fillId="2" borderId="118" xfId="0" applyFont="1" applyFill="1" applyBorder="1" applyAlignment="1">
      <alignment horizontal="center"/>
    </xf>
    <xf numFmtId="0" fontId="10" fillId="2" borderId="21" xfId="0" applyFont="1" applyFill="1" applyBorder="1"/>
    <xf numFmtId="4" fontId="10" fillId="2" borderId="29" xfId="0" applyNumberFormat="1" applyFont="1" applyFill="1" applyBorder="1"/>
    <xf numFmtId="0" fontId="1" fillId="2" borderId="45" xfId="0" applyFont="1" applyFill="1" applyBorder="1"/>
    <xf numFmtId="4" fontId="18" fillId="2" borderId="28" xfId="0" applyNumberFormat="1" applyFont="1" applyFill="1" applyBorder="1"/>
    <xf numFmtId="4" fontId="18" fillId="2" borderId="115" xfId="0" applyNumberFormat="1" applyFont="1" applyFill="1" applyBorder="1"/>
    <xf numFmtId="4" fontId="18" fillId="2" borderId="113" xfId="0" applyNumberFormat="1" applyFont="1" applyFill="1" applyBorder="1"/>
    <xf numFmtId="0" fontId="20" fillId="2" borderId="50" xfId="0" applyFont="1" applyFill="1" applyBorder="1" applyAlignment="1">
      <alignment horizontal="left"/>
    </xf>
    <xf numFmtId="0" fontId="20" fillId="2" borderId="26" xfId="0" applyFont="1" applyFill="1" applyBorder="1"/>
    <xf numFmtId="4" fontId="20" fillId="2" borderId="114" xfId="0" applyNumberFormat="1" applyFont="1" applyFill="1" applyBorder="1"/>
    <xf numFmtId="0" fontId="35" fillId="2" borderId="0" xfId="0" applyFont="1" applyFill="1" applyAlignment="1">
      <alignment horizontal="right" wrapText="1"/>
    </xf>
    <xf numFmtId="0" fontId="35" fillId="2" borderId="0" xfId="0" applyFont="1" applyFill="1" applyAlignment="1">
      <alignment horizontal="right"/>
    </xf>
    <xf numFmtId="0" fontId="10" fillId="2" borderId="45" xfId="0" applyFont="1" applyFill="1" applyBorder="1" applyAlignment="1">
      <alignment horizontal="center"/>
    </xf>
    <xf numFmtId="0" fontId="18" fillId="2" borderId="46" xfId="0" applyFont="1" applyFill="1" applyBorder="1"/>
    <xf numFmtId="0" fontId="10" fillId="2" borderId="33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1" fillId="2" borderId="48" xfId="0" applyFont="1" applyFill="1" applyBorder="1" applyAlignment="1">
      <alignment horizontal="center"/>
    </xf>
    <xf numFmtId="0" fontId="1" fillId="2" borderId="31" xfId="0" applyFont="1" applyFill="1" applyBorder="1"/>
    <xf numFmtId="0" fontId="1" fillId="2" borderId="49" xfId="0" applyFont="1" applyFill="1" applyBorder="1" applyAlignment="1">
      <alignment horizontal="center"/>
    </xf>
    <xf numFmtId="0" fontId="1" fillId="2" borderId="121" xfId="0" applyFont="1" applyFill="1" applyBorder="1"/>
    <xf numFmtId="0" fontId="1" fillId="2" borderId="45" xfId="0" applyFont="1" applyFill="1" applyBorder="1" applyAlignment="1">
      <alignment horizontal="center"/>
    </xf>
    <xf numFmtId="0" fontId="7" fillId="2" borderId="45" xfId="0" applyFont="1" applyFill="1" applyBorder="1" applyAlignment="1">
      <alignment horizontal="center"/>
    </xf>
    <xf numFmtId="0" fontId="18" fillId="3" borderId="30" xfId="0" applyFont="1" applyFill="1" applyBorder="1"/>
    <xf numFmtId="0" fontId="18" fillId="3" borderId="31" xfId="0" applyFont="1" applyFill="1" applyBorder="1"/>
    <xf numFmtId="0" fontId="11" fillId="3" borderId="45" xfId="0" applyFont="1" applyFill="1" applyBorder="1"/>
    <xf numFmtId="4" fontId="32" fillId="2" borderId="42" xfId="0" applyNumberFormat="1" applyFont="1" applyFill="1" applyBorder="1"/>
    <xf numFmtId="4" fontId="26" fillId="2" borderId="42" xfId="0" applyNumberFormat="1" applyFont="1" applyFill="1" applyBorder="1"/>
    <xf numFmtId="4" fontId="26" fillId="2" borderId="47" xfId="0" applyNumberFormat="1" applyFont="1" applyFill="1" applyBorder="1"/>
    <xf numFmtId="4" fontId="40" fillId="2" borderId="43" xfId="0" applyNumberFormat="1" applyFont="1" applyFill="1" applyBorder="1" applyProtection="1">
      <protection locked="0"/>
    </xf>
    <xf numFmtId="4" fontId="40" fillId="2" borderId="44" xfId="0" applyNumberFormat="1" applyFont="1" applyFill="1" applyBorder="1" applyProtection="1">
      <protection locked="0"/>
    </xf>
    <xf numFmtId="4" fontId="26" fillId="2" borderId="42" xfId="0" applyNumberFormat="1" applyFont="1" applyFill="1" applyBorder="1" applyProtection="1">
      <protection locked="0"/>
    </xf>
    <xf numFmtId="4" fontId="24" fillId="2" borderId="41" xfId="0" applyNumberFormat="1" applyFont="1" applyFill="1" applyBorder="1"/>
    <xf numFmtId="4" fontId="24" fillId="2" borderId="46" xfId="0" applyNumberFormat="1" applyFont="1" applyFill="1" applyBorder="1"/>
    <xf numFmtId="4" fontId="26" fillId="2" borderId="47" xfId="0" applyNumberFormat="1" applyFont="1" applyFill="1" applyBorder="1" applyProtection="1">
      <protection locked="0"/>
    </xf>
    <xf numFmtId="4" fontId="58" fillId="2" borderId="40" xfId="0" applyNumberFormat="1" applyFont="1" applyFill="1" applyBorder="1"/>
    <xf numFmtId="4" fontId="48" fillId="0" borderId="98" xfId="0" applyNumberFormat="1" applyFont="1" applyBorder="1" applyAlignment="1">
      <alignment horizontal="right" vertical="center"/>
    </xf>
    <xf numFmtId="4" fontId="48" fillId="0" borderId="19" xfId="0" applyNumberFormat="1" applyFont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0" fillId="3" borderId="111" xfId="0" applyFont="1" applyFill="1" applyBorder="1" applyAlignment="1">
      <alignment vertical="center"/>
    </xf>
    <xf numFmtId="0" fontId="12" fillId="3" borderId="112" xfId="0" applyFont="1" applyFill="1" applyBorder="1" applyAlignment="1">
      <alignment horizontal="center" vertical="center"/>
    </xf>
    <xf numFmtId="4" fontId="10" fillId="3" borderId="161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center"/>
    </xf>
    <xf numFmtId="4" fontId="10" fillId="2" borderId="0" xfId="0" applyNumberFormat="1" applyFont="1" applyFill="1"/>
    <xf numFmtId="0" fontId="10" fillId="2" borderId="51" xfId="0" applyFont="1" applyFill="1" applyBorder="1" applyAlignment="1">
      <alignment horizontal="center"/>
    </xf>
    <xf numFmtId="0" fontId="10" fillId="2" borderId="52" xfId="0" applyFont="1" applyFill="1" applyBorder="1"/>
    <xf numFmtId="0" fontId="18" fillId="2" borderId="70" xfId="0" applyFont="1" applyFill="1" applyBorder="1"/>
    <xf numFmtId="0" fontId="18" fillId="2" borderId="9" xfId="0" applyFont="1" applyFill="1" applyBorder="1" applyAlignment="1">
      <alignment vertical="center"/>
    </xf>
    <xf numFmtId="0" fontId="7" fillId="2" borderId="122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left" vertical="center" wrapText="1"/>
    </xf>
    <xf numFmtId="4" fontId="7" fillId="2" borderId="124" xfId="0" applyNumberFormat="1" applyFont="1" applyFill="1" applyBorder="1" applyAlignment="1">
      <alignment vertical="center"/>
    </xf>
    <xf numFmtId="0" fontId="18" fillId="2" borderId="10" xfId="0" applyFont="1" applyFill="1" applyBorder="1" applyAlignment="1">
      <alignment vertical="center"/>
    </xf>
    <xf numFmtId="0" fontId="7" fillId="2" borderId="163" xfId="0" applyFont="1" applyFill="1" applyBorder="1" applyAlignment="1">
      <alignment horizontal="center" vertical="center"/>
    </xf>
    <xf numFmtId="0" fontId="7" fillId="2" borderId="164" xfId="0" applyFont="1" applyFill="1" applyBorder="1" applyAlignment="1">
      <alignment horizontal="left" vertical="center" wrapText="1"/>
    </xf>
    <xf numFmtId="4" fontId="7" fillId="2" borderId="162" xfId="0" applyNumberFormat="1" applyFont="1" applyFill="1" applyBorder="1" applyAlignment="1">
      <alignment vertical="center"/>
    </xf>
    <xf numFmtId="0" fontId="10" fillId="2" borderId="163" xfId="0" applyFont="1" applyFill="1" applyBorder="1" applyAlignment="1">
      <alignment horizontal="center" vertical="center"/>
    </xf>
    <xf numFmtId="0" fontId="10" fillId="2" borderId="164" xfId="0" applyFont="1" applyFill="1" applyBorder="1" applyAlignment="1">
      <alignment horizontal="left" vertical="center" wrapText="1"/>
    </xf>
    <xf numFmtId="4" fontId="10" fillId="2" borderId="162" xfId="0" applyNumberFormat="1" applyFont="1" applyFill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0" fontId="10" fillId="2" borderId="122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left" vertical="center" wrapText="1"/>
    </xf>
    <xf numFmtId="4" fontId="10" fillId="2" borderId="4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4" fontId="7" fillId="2" borderId="162" xfId="0" applyNumberFormat="1" applyFont="1" applyFill="1" applyBorder="1" applyAlignment="1" applyProtection="1">
      <alignment vertical="center"/>
      <protection locked="0"/>
    </xf>
    <xf numFmtId="4" fontId="14" fillId="2" borderId="98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60" xfId="0" applyFont="1" applyFill="1" applyBorder="1" applyAlignment="1" applyProtection="1">
      <alignment vertical="center"/>
      <protection locked="0"/>
    </xf>
    <xf numFmtId="0" fontId="1" fillId="2" borderId="62" xfId="0" applyFont="1" applyFill="1" applyBorder="1" applyAlignment="1" applyProtection="1">
      <alignment vertical="center"/>
      <protection locked="0"/>
    </xf>
    <xf numFmtId="4" fontId="1" fillId="2" borderId="72" xfId="0" applyNumberFormat="1" applyFont="1" applyFill="1" applyBorder="1" applyAlignment="1" applyProtection="1">
      <alignment horizontal="right" vertical="center"/>
      <protection locked="0"/>
    </xf>
    <xf numFmtId="0" fontId="1" fillId="2" borderId="63" xfId="0" applyFont="1" applyFill="1" applyBorder="1" applyAlignment="1" applyProtection="1">
      <alignment vertical="center"/>
      <protection locked="0"/>
    </xf>
    <xf numFmtId="0" fontId="1" fillId="2" borderId="65" xfId="0" applyFont="1" applyFill="1" applyBorder="1" applyAlignment="1" applyProtection="1">
      <alignment vertical="center"/>
      <protection locked="0"/>
    </xf>
    <xf numFmtId="4" fontId="1" fillId="2" borderId="73" xfId="0" applyNumberFormat="1" applyFont="1" applyFill="1" applyBorder="1" applyAlignment="1" applyProtection="1">
      <alignment horizontal="right" vertical="center"/>
      <protection locked="0"/>
    </xf>
    <xf numFmtId="4" fontId="1" fillId="2" borderId="60" xfId="0" applyNumberFormat="1" applyFont="1" applyFill="1" applyBorder="1" applyAlignment="1">
      <alignment horizontal="left" vertical="center"/>
    </xf>
    <xf numFmtId="0" fontId="1" fillId="2" borderId="93" xfId="0" applyFont="1" applyFill="1" applyBorder="1" applyAlignment="1">
      <alignment horizontal="left" vertical="center"/>
    </xf>
    <xf numFmtId="0" fontId="1" fillId="2" borderId="63" xfId="0" applyFont="1" applyFill="1" applyBorder="1" applyAlignment="1">
      <alignment horizontal="left" vertical="center"/>
    </xf>
    <xf numFmtId="0" fontId="18" fillId="2" borderId="68" xfId="0" applyFont="1" applyFill="1" applyBorder="1" applyAlignment="1">
      <alignment horizontal="left"/>
    </xf>
    <xf numFmtId="0" fontId="60" fillId="2" borderId="0" xfId="0" applyFont="1" applyFill="1" applyAlignment="1">
      <alignment horizontal="left"/>
    </xf>
    <xf numFmtId="0" fontId="7" fillId="2" borderId="0" xfId="0" applyFont="1" applyFill="1" applyAlignment="1">
      <alignment horizontal="right" vertical="center"/>
    </xf>
    <xf numFmtId="4" fontId="34" fillId="6" borderId="110" xfId="0" applyNumberFormat="1" applyFont="1" applyFill="1" applyBorder="1"/>
    <xf numFmtId="0" fontId="7" fillId="2" borderId="126" xfId="0" applyFont="1" applyFill="1" applyBorder="1" applyAlignment="1">
      <alignment vertical="center"/>
    </xf>
    <xf numFmtId="0" fontId="1" fillId="2" borderId="127" xfId="0" applyFont="1" applyFill="1" applyBorder="1" applyAlignment="1">
      <alignment vertical="center"/>
    </xf>
    <xf numFmtId="4" fontId="7" fillId="2" borderId="128" xfId="0" applyNumberFormat="1" applyFont="1" applyFill="1" applyBorder="1" applyAlignment="1">
      <alignment horizontal="right" vertical="center"/>
    </xf>
    <xf numFmtId="0" fontId="1" fillId="2" borderId="62" xfId="0" applyFont="1" applyFill="1" applyBorder="1" applyAlignment="1">
      <alignment vertical="center"/>
    </xf>
    <xf numFmtId="4" fontId="7" fillId="2" borderId="72" xfId="0" applyNumberFormat="1" applyFont="1" applyFill="1" applyBorder="1" applyAlignment="1">
      <alignment horizontal="right" vertical="center"/>
    </xf>
    <xf numFmtId="0" fontId="14" fillId="2" borderId="9" xfId="0" applyFont="1" applyFill="1" applyBorder="1" applyAlignment="1" applyProtection="1">
      <alignment horizontal="left"/>
      <protection locked="0"/>
    </xf>
    <xf numFmtId="0" fontId="18" fillId="2" borderId="10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4" fontId="1" fillId="2" borderId="95" xfId="0" applyNumberFormat="1" applyFont="1" applyFill="1" applyBorder="1" applyAlignment="1" applyProtection="1">
      <alignment vertical="center"/>
      <protection locked="0"/>
    </xf>
    <xf numFmtId="0" fontId="1" fillId="2" borderId="21" xfId="0" applyFont="1" applyFill="1" applyBorder="1"/>
    <xf numFmtId="0" fontId="1" fillId="2" borderId="118" xfId="0" applyFont="1" applyFill="1" applyBorder="1" applyAlignment="1">
      <alignment horizontal="center"/>
    </xf>
    <xf numFmtId="4" fontId="1" fillId="2" borderId="42" xfId="0" applyNumberFormat="1" applyFont="1" applyFill="1" applyBorder="1" applyProtection="1">
      <protection locked="0"/>
    </xf>
    <xf numFmtId="4" fontId="1" fillId="2" borderId="165" xfId="0" applyNumberFormat="1" applyFont="1" applyFill="1" applyBorder="1" applyProtection="1">
      <protection locked="0"/>
    </xf>
    <xf numFmtId="4" fontId="7" fillId="2" borderId="59" xfId="0" applyNumberFormat="1" applyFont="1" applyFill="1" applyBorder="1" applyAlignment="1" applyProtection="1">
      <alignment vertical="center"/>
      <protection locked="0"/>
    </xf>
    <xf numFmtId="4" fontId="7" fillId="2" borderId="62" xfId="0" applyNumberFormat="1" applyFont="1" applyFill="1" applyBorder="1" applyAlignment="1" applyProtection="1">
      <alignment vertical="center"/>
      <protection locked="0"/>
    </xf>
    <xf numFmtId="4" fontId="7" fillId="2" borderId="65" xfId="0" applyNumberFormat="1" applyFont="1" applyFill="1" applyBorder="1" applyAlignment="1" applyProtection="1">
      <alignment vertical="center"/>
      <protection locked="0"/>
    </xf>
    <xf numFmtId="0" fontId="25" fillId="3" borderId="41" xfId="132" applyFont="1" applyFill="1" applyBorder="1" applyAlignment="1">
      <alignment horizontal="center" wrapText="1"/>
    </xf>
    <xf numFmtId="4" fontId="7" fillId="13" borderId="69" xfId="0" applyNumberFormat="1" applyFont="1" applyFill="1" applyBorder="1" applyAlignment="1">
      <alignment vertical="center"/>
    </xf>
    <xf numFmtId="0" fontId="1" fillId="2" borderId="57" xfId="0" applyFont="1" applyFill="1" applyBorder="1" applyAlignment="1">
      <alignment horizontal="left" vertical="center"/>
    </xf>
    <xf numFmtId="0" fontId="1" fillId="2" borderId="60" xfId="0" applyFont="1" applyFill="1" applyBorder="1" applyAlignment="1">
      <alignment horizontal="left" vertical="center"/>
    </xf>
    <xf numFmtId="0" fontId="1" fillId="2" borderId="89" xfId="0" applyFont="1" applyFill="1" applyBorder="1" applyAlignment="1">
      <alignment vertical="center"/>
    </xf>
    <xf numFmtId="0" fontId="7" fillId="3" borderId="166" xfId="0" applyFont="1" applyFill="1" applyBorder="1" applyAlignment="1" applyProtection="1">
      <alignment horizontal="left" vertical="center"/>
      <protection locked="0"/>
    </xf>
    <xf numFmtId="0" fontId="1" fillId="3" borderId="167" xfId="0" applyFont="1" applyFill="1" applyBorder="1" applyAlignment="1">
      <alignment horizontal="center" vertical="center"/>
    </xf>
    <xf numFmtId="4" fontId="10" fillId="3" borderId="167" xfId="0" applyNumberFormat="1" applyFont="1" applyFill="1" applyBorder="1" applyAlignment="1">
      <alignment horizontal="left" vertical="center"/>
    </xf>
    <xf numFmtId="4" fontId="10" fillId="3" borderId="168" xfId="0" applyNumberFormat="1" applyFont="1" applyFill="1" applyBorder="1" applyAlignment="1">
      <alignment horizontal="left" vertical="center"/>
    </xf>
    <xf numFmtId="0" fontId="7" fillId="3" borderId="41" xfId="0" applyFont="1" applyFill="1" applyBorder="1" applyAlignment="1">
      <alignment horizontal="center" vertical="center" wrapText="1"/>
    </xf>
    <xf numFmtId="0" fontId="7" fillId="3" borderId="74" xfId="0" quotePrefix="1" applyFont="1" applyFill="1" applyBorder="1" applyAlignment="1">
      <alignment horizontal="center" vertical="center"/>
    </xf>
    <xf numFmtId="0" fontId="1" fillId="2" borderId="95" xfId="0" applyFont="1" applyFill="1" applyBorder="1" applyAlignment="1" applyProtection="1">
      <alignment horizontal="left" vertical="center"/>
      <protection locked="0"/>
    </xf>
    <xf numFmtId="0" fontId="1" fillId="2" borderId="95" xfId="0" applyFont="1" applyFill="1" applyBorder="1" applyAlignment="1" applyProtection="1">
      <alignment horizontal="center" vertical="center"/>
      <protection locked="0"/>
    </xf>
    <xf numFmtId="4" fontId="1" fillId="2" borderId="71" xfId="0" applyNumberFormat="1" applyFont="1" applyFill="1" applyBorder="1" applyAlignment="1" applyProtection="1">
      <alignment horizontal="right" vertical="center"/>
      <protection locked="0"/>
    </xf>
    <xf numFmtId="4" fontId="1" fillId="2" borderId="98" xfId="0" applyNumberFormat="1" applyFont="1" applyFill="1" applyBorder="1" applyAlignment="1" applyProtection="1">
      <alignment horizontal="right" vertical="center"/>
      <protection locked="0"/>
    </xf>
    <xf numFmtId="4" fontId="2" fillId="2" borderId="96" xfId="0" applyNumberFormat="1" applyFont="1" applyFill="1" applyBorder="1" applyAlignment="1" applyProtection="1">
      <alignment horizontal="right" vertical="center"/>
      <protection locked="0"/>
    </xf>
    <xf numFmtId="4" fontId="2" fillId="2" borderId="71" xfId="0" applyNumberFormat="1" applyFont="1" applyFill="1" applyBorder="1" applyAlignment="1" applyProtection="1">
      <alignment horizontal="right" vertical="center"/>
      <protection locked="0"/>
    </xf>
    <xf numFmtId="4" fontId="2" fillId="2" borderId="78" xfId="0" applyNumberFormat="1" applyFont="1" applyFill="1" applyBorder="1" applyAlignment="1" applyProtection="1">
      <alignment horizontal="right" vertical="center"/>
      <protection locked="0"/>
    </xf>
    <xf numFmtId="4" fontId="2" fillId="2" borderId="72" xfId="0" applyNumberFormat="1" applyFont="1" applyFill="1" applyBorder="1" applyAlignment="1" applyProtection="1">
      <alignment horizontal="right" vertical="center"/>
      <protection locked="0"/>
    </xf>
    <xf numFmtId="0" fontId="1" fillId="2" borderId="61" xfId="0" applyFont="1" applyFill="1" applyBorder="1" applyAlignment="1" applyProtection="1">
      <alignment horizontal="left" vertical="center"/>
      <protection locked="0"/>
    </xf>
    <xf numFmtId="0" fontId="1" fillId="2" borderId="72" xfId="0" applyFont="1" applyFill="1" applyBorder="1" applyAlignment="1" applyProtection="1">
      <alignment horizontal="center" vertical="center"/>
      <protection locked="0"/>
    </xf>
    <xf numFmtId="0" fontId="1" fillId="2" borderId="72" xfId="0" applyFont="1" applyFill="1" applyBorder="1" applyAlignment="1" applyProtection="1">
      <alignment horizontal="left" vertical="center"/>
      <protection locked="0"/>
    </xf>
    <xf numFmtId="0" fontId="1" fillId="2" borderId="73" xfId="0" applyFont="1" applyFill="1" applyBorder="1" applyAlignment="1" applyProtection="1">
      <alignment horizontal="left" vertical="center"/>
      <protection locked="0"/>
    </xf>
    <xf numFmtId="0" fontId="1" fillId="2" borderId="64" xfId="0" applyFont="1" applyFill="1" applyBorder="1" applyAlignment="1" applyProtection="1">
      <alignment horizontal="left" vertical="center"/>
      <protection locked="0"/>
    </xf>
    <xf numFmtId="0" fontId="1" fillId="2" borderId="73" xfId="0" applyFont="1" applyFill="1" applyBorder="1" applyAlignment="1" applyProtection="1">
      <alignment horizontal="center" vertical="center"/>
      <protection locked="0"/>
    </xf>
    <xf numFmtId="4" fontId="2" fillId="2" borderId="81" xfId="0" applyNumberFormat="1" applyFont="1" applyFill="1" applyBorder="1" applyAlignment="1" applyProtection="1">
      <alignment horizontal="right" vertical="center"/>
      <protection locked="0"/>
    </xf>
    <xf numFmtId="4" fontId="2" fillId="2" borderId="73" xfId="0" applyNumberFormat="1" applyFont="1" applyFill="1" applyBorder="1" applyAlignment="1" applyProtection="1">
      <alignment horizontal="right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39" fillId="2" borderId="0" xfId="0" applyFont="1" applyFill="1" applyAlignment="1">
      <alignment vertical="center"/>
    </xf>
    <xf numFmtId="3" fontId="10" fillId="2" borderId="15" xfId="0" applyNumberFormat="1" applyFont="1" applyFill="1" applyBorder="1" applyAlignment="1">
      <alignment horizontal="center" vertical="center"/>
    </xf>
    <xf numFmtId="4" fontId="30" fillId="2" borderId="0" xfId="0" applyNumberFormat="1" applyFont="1" applyFill="1" applyAlignment="1">
      <alignment vertical="center"/>
    </xf>
    <xf numFmtId="4" fontId="7" fillId="2" borderId="92" xfId="0" applyNumberFormat="1" applyFont="1" applyFill="1" applyBorder="1" applyAlignment="1">
      <alignment vertical="center"/>
    </xf>
    <xf numFmtId="4" fontId="1" fillId="2" borderId="72" xfId="0" applyNumberFormat="1" applyFont="1" applyFill="1" applyBorder="1" applyAlignment="1" applyProtection="1">
      <alignment vertical="center"/>
      <protection locked="0"/>
    </xf>
    <xf numFmtId="4" fontId="1" fillId="2" borderId="102" xfId="0" applyNumberFormat="1" applyFont="1" applyFill="1" applyBorder="1" applyAlignment="1" applyProtection="1">
      <alignment vertical="center"/>
      <protection locked="0"/>
    </xf>
    <xf numFmtId="4" fontId="1" fillId="2" borderId="79" xfId="0" applyNumberFormat="1" applyFont="1" applyFill="1" applyBorder="1" applyAlignment="1" applyProtection="1">
      <alignment vertical="center"/>
      <protection locked="0"/>
    </xf>
    <xf numFmtId="4" fontId="1" fillId="2" borderId="80" xfId="0" applyNumberFormat="1" applyFont="1" applyFill="1" applyBorder="1" applyAlignment="1" applyProtection="1">
      <alignment horizontal="right" vertical="center"/>
      <protection locked="0"/>
    </xf>
    <xf numFmtId="0" fontId="1" fillId="2" borderId="88" xfId="0" applyFont="1" applyFill="1" applyBorder="1" applyAlignment="1">
      <alignment horizontal="left" vertical="center"/>
    </xf>
    <xf numFmtId="4" fontId="1" fillId="2" borderId="89" xfId="0" applyNumberFormat="1" applyFont="1" applyFill="1" applyBorder="1" applyAlignment="1" applyProtection="1">
      <alignment vertical="center"/>
      <protection locked="0"/>
    </xf>
    <xf numFmtId="4" fontId="1" fillId="2" borderId="169" xfId="0" applyNumberFormat="1" applyFont="1" applyFill="1" applyBorder="1" applyAlignment="1" applyProtection="1">
      <alignment vertical="center"/>
      <protection locked="0"/>
    </xf>
    <xf numFmtId="4" fontId="1" fillId="2" borderId="91" xfId="0" applyNumberFormat="1" applyFont="1" applyFill="1" applyBorder="1" applyAlignment="1" applyProtection="1">
      <alignment vertical="center"/>
      <protection locked="0"/>
    </xf>
    <xf numFmtId="4" fontId="1" fillId="2" borderId="170" xfId="0" applyNumberFormat="1" applyFont="1" applyFill="1" applyBorder="1" applyAlignment="1" applyProtection="1">
      <alignment horizontal="right" vertical="center"/>
      <protection locked="0"/>
    </xf>
    <xf numFmtId="0" fontId="1" fillId="2" borderId="64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 indent="3"/>
    </xf>
    <xf numFmtId="10" fontId="61" fillId="2" borderId="98" xfId="0" applyNumberFormat="1" applyFont="1" applyFill="1" applyBorder="1" applyAlignment="1">
      <alignment horizontal="right" vertical="center"/>
    </xf>
    <xf numFmtId="10" fontId="61" fillId="2" borderId="62" xfId="0" applyNumberFormat="1" applyFont="1" applyFill="1" applyBorder="1" applyAlignment="1">
      <alignment horizontal="right" vertical="center"/>
    </xf>
    <xf numFmtId="10" fontId="61" fillId="2" borderId="65" xfId="0" applyNumberFormat="1" applyFont="1" applyFill="1" applyBorder="1" applyAlignment="1">
      <alignment horizontal="right" vertical="center"/>
    </xf>
    <xf numFmtId="1" fontId="9" fillId="3" borderId="0" xfId="0" applyNumberFormat="1" applyFont="1" applyFill="1" applyAlignment="1">
      <alignment horizontal="center"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vertical="center"/>
    </xf>
    <xf numFmtId="4" fontId="61" fillId="0" borderId="95" xfId="0" applyNumberFormat="1" applyFont="1" applyBorder="1" applyAlignment="1">
      <alignment vertical="center"/>
    </xf>
    <xf numFmtId="4" fontId="61" fillId="0" borderId="73" xfId="0" applyNumberFormat="1" applyFont="1" applyBorder="1" applyAlignment="1">
      <alignment vertical="center"/>
    </xf>
    <xf numFmtId="0" fontId="7" fillId="2" borderId="93" xfId="0" applyFont="1" applyFill="1" applyBorder="1" applyAlignment="1">
      <alignment horizontal="left" vertical="center"/>
    </xf>
    <xf numFmtId="0" fontId="7" fillId="2" borderId="98" xfId="0" applyFont="1" applyFill="1" applyBorder="1" applyAlignment="1">
      <alignment horizontal="left" vertical="center"/>
    </xf>
    <xf numFmtId="0" fontId="1" fillId="2" borderId="98" xfId="0" applyFont="1" applyFill="1" applyBorder="1" applyAlignment="1">
      <alignment horizontal="left" vertical="center"/>
    </xf>
    <xf numFmtId="0" fontId="61" fillId="2" borderId="93" xfId="0" applyFont="1" applyFill="1" applyBorder="1" applyAlignment="1">
      <alignment horizontal="center" vertical="center"/>
    </xf>
    <xf numFmtId="0" fontId="61" fillId="2" borderId="98" xfId="0" applyFont="1" applyFill="1" applyBorder="1" applyAlignment="1">
      <alignment horizontal="left" vertical="center"/>
    </xf>
    <xf numFmtId="0" fontId="61" fillId="2" borderId="63" xfId="0" applyFont="1" applyFill="1" applyBorder="1" applyAlignment="1">
      <alignment horizontal="center" vertical="center"/>
    </xf>
    <xf numFmtId="0" fontId="61" fillId="2" borderId="65" xfId="0" applyFont="1" applyFill="1" applyBorder="1" applyAlignment="1">
      <alignment horizontal="left" vertical="center"/>
    </xf>
    <xf numFmtId="0" fontId="24" fillId="2" borderId="0" xfId="0" applyFont="1" applyFill="1" applyAlignment="1">
      <alignment horizontal="left"/>
    </xf>
    <xf numFmtId="4" fontId="24" fillId="2" borderId="0" xfId="0" applyNumberFormat="1" applyFont="1" applyFill="1" applyAlignment="1">
      <alignment horizontal="left"/>
    </xf>
    <xf numFmtId="4" fontId="7" fillId="3" borderId="15" xfId="0" applyNumberFormat="1" applyFont="1" applyFill="1" applyBorder="1" applyAlignment="1">
      <alignment horizontal="right" vertical="center"/>
    </xf>
    <xf numFmtId="4" fontId="26" fillId="3" borderId="101" xfId="132" applyNumberFormat="1" applyFont="1" applyFill="1" applyBorder="1" applyAlignment="1">
      <alignment horizontal="right" vertical="center" wrapText="1"/>
    </xf>
    <xf numFmtId="0" fontId="1" fillId="3" borderId="89" xfId="0" applyFont="1" applyFill="1" applyBorder="1" applyAlignment="1">
      <alignment vertical="center"/>
    </xf>
    <xf numFmtId="0" fontId="62" fillId="2" borderId="56" xfId="0" applyFont="1" applyFill="1" applyBorder="1" applyAlignment="1">
      <alignment horizontal="center"/>
    </xf>
    <xf numFmtId="0" fontId="62" fillId="2" borderId="20" xfId="0" applyFont="1" applyFill="1" applyBorder="1"/>
    <xf numFmtId="0" fontId="62" fillId="2" borderId="181" xfId="0" applyFont="1" applyFill="1" applyBorder="1" applyAlignment="1">
      <alignment horizontal="center"/>
    </xf>
    <xf numFmtId="0" fontId="62" fillId="2" borderId="182" xfId="0" applyFont="1" applyFill="1" applyBorder="1"/>
    <xf numFmtId="4" fontId="62" fillId="2" borderId="178" xfId="0" applyNumberFormat="1" applyFont="1" applyFill="1" applyBorder="1" applyProtection="1">
      <protection locked="0"/>
    </xf>
    <xf numFmtId="4" fontId="62" fillId="2" borderId="179" xfId="0" applyNumberFormat="1" applyFont="1" applyFill="1" applyBorder="1" applyProtection="1">
      <protection locked="0"/>
    </xf>
    <xf numFmtId="4" fontId="62" fillId="2" borderId="180" xfId="0" applyNumberFormat="1" applyFont="1" applyFill="1" applyBorder="1" applyProtection="1">
      <protection locked="0"/>
    </xf>
    <xf numFmtId="4" fontId="7" fillId="2" borderId="29" xfId="0" applyNumberFormat="1" applyFont="1" applyFill="1" applyBorder="1"/>
    <xf numFmtId="0" fontId="18" fillId="3" borderId="6" xfId="0" applyFont="1" applyFill="1" applyBorder="1" applyAlignment="1" applyProtection="1">
      <alignment horizontal="left"/>
      <protection locked="0"/>
    </xf>
    <xf numFmtId="0" fontId="18" fillId="3" borderId="7" xfId="0" applyFont="1" applyFill="1" applyBorder="1" applyAlignment="1" applyProtection="1">
      <alignment horizontal="left"/>
      <protection locked="0"/>
    </xf>
    <xf numFmtId="0" fontId="18" fillId="3" borderId="8" xfId="0" applyFont="1" applyFill="1" applyBorder="1" applyAlignment="1" applyProtection="1">
      <alignment horizontal="left"/>
      <protection locked="0"/>
    </xf>
    <xf numFmtId="0" fontId="10" fillId="0" borderId="9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10" xfId="0" applyFont="1" applyBorder="1" applyAlignment="1" applyProtection="1">
      <alignment vertical="center"/>
      <protection locked="0"/>
    </xf>
    <xf numFmtId="0" fontId="18" fillId="0" borderId="9" xfId="0" applyFont="1" applyBorder="1" applyProtection="1">
      <protection locked="0"/>
    </xf>
    <xf numFmtId="0" fontId="18" fillId="0" borderId="0" xfId="0" applyFont="1" applyProtection="1">
      <protection locked="0"/>
    </xf>
    <xf numFmtId="0" fontId="18" fillId="0" borderId="10" xfId="0" applyFont="1" applyBorder="1" applyProtection="1">
      <protection locked="0"/>
    </xf>
    <xf numFmtId="0" fontId="19" fillId="0" borderId="9" xfId="0" applyFont="1" applyBorder="1" applyProtection="1">
      <protection locked="0"/>
    </xf>
    <xf numFmtId="0" fontId="19" fillId="0" borderId="0" xfId="0" applyFont="1" applyProtection="1">
      <protection locked="0"/>
    </xf>
    <xf numFmtId="0" fontId="19" fillId="0" borderId="10" xfId="0" applyFont="1" applyBorder="1" applyProtection="1">
      <protection locked="0"/>
    </xf>
    <xf numFmtId="0" fontId="18" fillId="0" borderId="9" xfId="0" applyFont="1" applyBorder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10" xfId="0" applyFont="1" applyBorder="1" applyAlignment="1" applyProtection="1">
      <alignment vertical="center"/>
      <protection locked="0"/>
    </xf>
    <xf numFmtId="0" fontId="18" fillId="0" borderId="11" xfId="0" applyFont="1" applyBorder="1" applyProtection="1">
      <protection locked="0"/>
    </xf>
    <xf numFmtId="0" fontId="18" fillId="0" borderId="12" xfId="0" applyFont="1" applyBorder="1" applyProtection="1">
      <protection locked="0"/>
    </xf>
    <xf numFmtId="0" fontId="18" fillId="0" borderId="13" xfId="0" applyFont="1" applyBorder="1" applyProtection="1">
      <protection locked="0"/>
    </xf>
    <xf numFmtId="0" fontId="18" fillId="0" borderId="9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10" xfId="0" applyFont="1" applyBorder="1" applyAlignment="1">
      <alignment vertical="center"/>
    </xf>
    <xf numFmtId="0" fontId="12" fillId="0" borderId="9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2" fillId="0" borderId="10" xfId="0" applyFont="1" applyBorder="1" applyAlignment="1" applyProtection="1">
      <alignment vertical="center"/>
      <protection locked="0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0" xfId="0" applyFont="1" applyBorder="1" applyAlignment="1">
      <alignment vertical="center"/>
    </xf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19" fillId="0" borderId="0" xfId="0" applyFont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18" fillId="0" borderId="9" xfId="0" applyFont="1" applyBorder="1"/>
    <xf numFmtId="0" fontId="18" fillId="0" borderId="0" xfId="0" applyFont="1"/>
    <xf numFmtId="0" fontId="18" fillId="0" borderId="10" xfId="0" applyFont="1" applyBorder="1"/>
    <xf numFmtId="4" fontId="18" fillId="0" borderId="9" xfId="0" applyNumberFormat="1" applyFont="1" applyBorder="1"/>
    <xf numFmtId="0" fontId="18" fillId="0" borderId="132" xfId="0" applyFont="1" applyBorder="1" applyProtection="1">
      <protection locked="0"/>
    </xf>
    <xf numFmtId="0" fontId="18" fillId="0" borderId="133" xfId="0" applyFont="1" applyBorder="1" applyProtection="1">
      <protection locked="0"/>
    </xf>
    <xf numFmtId="0" fontId="18" fillId="0" borderId="129" xfId="0" applyFont="1" applyBorder="1" applyProtection="1">
      <protection locked="0"/>
    </xf>
    <xf numFmtId="0" fontId="18" fillId="0" borderId="130" xfId="0" applyFont="1" applyBorder="1" applyProtection="1">
      <protection locked="0"/>
    </xf>
    <xf numFmtId="0" fontId="18" fillId="0" borderId="131" xfId="0" applyFont="1" applyBorder="1" applyProtection="1">
      <protection locked="0"/>
    </xf>
    <xf numFmtId="0" fontId="19" fillId="0" borderId="132" xfId="0" applyFont="1" applyBorder="1" applyAlignment="1" applyProtection="1">
      <alignment vertical="center"/>
      <protection locked="0"/>
    </xf>
    <xf numFmtId="0" fontId="18" fillId="0" borderId="132" xfId="0" applyFont="1" applyBorder="1"/>
    <xf numFmtId="0" fontId="1" fillId="2" borderId="95" xfId="0" applyFont="1" applyFill="1" applyBorder="1" applyAlignment="1">
      <alignment vertical="center"/>
    </xf>
    <xf numFmtId="0" fontId="63" fillId="2" borderId="0" xfId="0" applyFont="1" applyFill="1"/>
    <xf numFmtId="0" fontId="64" fillId="2" borderId="0" xfId="0" applyFont="1" applyFill="1" applyAlignment="1">
      <alignment vertical="center"/>
    </xf>
    <xf numFmtId="0" fontId="63" fillId="2" borderId="0" xfId="0" applyFont="1" applyFill="1" applyAlignment="1">
      <alignment wrapText="1"/>
    </xf>
    <xf numFmtId="0" fontId="7" fillId="3" borderId="116" xfId="0" applyFont="1" applyFill="1" applyBorder="1" applyAlignment="1">
      <alignment horizontal="center"/>
    </xf>
    <xf numFmtId="0" fontId="7" fillId="3" borderId="183" xfId="0" applyFont="1" applyFill="1" applyBorder="1" applyAlignment="1">
      <alignment horizontal="center"/>
    </xf>
    <xf numFmtId="0" fontId="7" fillId="3" borderId="117" xfId="0" applyFont="1" applyFill="1" applyBorder="1" applyAlignment="1">
      <alignment horizontal="center"/>
    </xf>
    <xf numFmtId="0" fontId="7" fillId="3" borderId="53" xfId="0" applyFont="1" applyFill="1" applyBorder="1" applyAlignment="1">
      <alignment horizontal="center"/>
    </xf>
    <xf numFmtId="0" fontId="20" fillId="3" borderId="28" xfId="0" applyFont="1" applyFill="1" applyBorder="1" applyAlignment="1">
      <alignment horizontal="center"/>
    </xf>
    <xf numFmtId="0" fontId="20" fillId="3" borderId="45" xfId="0" applyFont="1" applyFill="1" applyBorder="1" applyAlignment="1">
      <alignment horizontal="center"/>
    </xf>
    <xf numFmtId="0" fontId="20" fillId="3" borderId="115" xfId="0" applyFont="1" applyFill="1" applyBorder="1" applyAlignment="1">
      <alignment horizontal="center"/>
    </xf>
    <xf numFmtId="0" fontId="20" fillId="3" borderId="55" xfId="0" applyFont="1" applyFill="1" applyBorder="1" applyAlignment="1">
      <alignment horizontal="center"/>
    </xf>
    <xf numFmtId="0" fontId="18" fillId="2" borderId="45" xfId="0" applyFont="1" applyFill="1" applyBorder="1"/>
    <xf numFmtId="0" fontId="62" fillId="2" borderId="49" xfId="0" applyFont="1" applyFill="1" applyBorder="1" applyAlignment="1">
      <alignment horizontal="center"/>
    </xf>
    <xf numFmtId="0" fontId="62" fillId="2" borderId="23" xfId="0" applyFont="1" applyFill="1" applyBorder="1"/>
    <xf numFmtId="4" fontId="65" fillId="2" borderId="44" xfId="0" applyNumberFormat="1" applyFont="1" applyFill="1" applyBorder="1" applyProtection="1">
      <protection locked="0"/>
    </xf>
    <xf numFmtId="4" fontId="40" fillId="2" borderId="44" xfId="0" applyNumberFormat="1" applyFont="1" applyFill="1" applyBorder="1"/>
    <xf numFmtId="0" fontId="25" fillId="3" borderId="15" xfId="132" applyFont="1" applyFill="1" applyBorder="1" applyAlignment="1">
      <alignment horizontal="center" vertical="center" wrapText="1"/>
    </xf>
    <xf numFmtId="0" fontId="25" fillId="3" borderId="142" xfId="132" applyFont="1" applyFill="1" applyBorder="1" applyAlignment="1">
      <alignment horizontal="center" vertical="center" wrapText="1"/>
    </xf>
    <xf numFmtId="0" fontId="7" fillId="2" borderId="59" xfId="0" applyFont="1" applyFill="1" applyBorder="1" applyAlignment="1" applyProtection="1">
      <alignment horizontal="center" vertical="center"/>
      <protection locked="0"/>
    </xf>
    <xf numFmtId="0" fontId="7" fillId="2" borderId="98" xfId="0" applyFont="1" applyFill="1" applyBorder="1" applyAlignment="1" applyProtection="1">
      <alignment horizontal="center" vertical="center"/>
      <protection locked="0"/>
    </xf>
    <xf numFmtId="0" fontId="7" fillId="2" borderId="62" xfId="0" applyFont="1" applyFill="1" applyBorder="1" applyAlignment="1" applyProtection="1">
      <alignment horizontal="center" vertical="center"/>
      <protection locked="0"/>
    </xf>
    <xf numFmtId="0" fontId="7" fillId="2" borderId="92" xfId="0" applyFont="1" applyFill="1" applyBorder="1" applyAlignment="1" applyProtection="1">
      <alignment horizontal="center" vertical="center"/>
      <protection locked="0"/>
    </xf>
    <xf numFmtId="0" fontId="7" fillId="2" borderId="65" xfId="0" applyFont="1" applyFill="1" applyBorder="1" applyAlignment="1" applyProtection="1">
      <alignment horizontal="center" vertical="center"/>
      <protection locked="0"/>
    </xf>
    <xf numFmtId="4" fontId="7" fillId="2" borderId="185" xfId="0" applyNumberFormat="1" applyFont="1" applyFill="1" applyBorder="1" applyAlignment="1">
      <alignment horizontal="center" vertical="center"/>
    </xf>
    <xf numFmtId="4" fontId="7" fillId="2" borderId="186" xfId="0" applyNumberFormat="1" applyFont="1" applyFill="1" applyBorder="1" applyAlignment="1">
      <alignment horizontal="center" vertical="center"/>
    </xf>
    <xf numFmtId="0" fontId="1" fillId="2" borderId="187" xfId="0" applyFont="1" applyFill="1" applyBorder="1" applyAlignment="1" applyProtection="1">
      <alignment horizontal="left" vertical="center"/>
      <protection locked="0"/>
    </xf>
    <xf numFmtId="1" fontId="1" fillId="2" borderId="95" xfId="0" applyNumberFormat="1" applyFont="1" applyFill="1" applyBorder="1" applyAlignment="1" applyProtection="1">
      <alignment horizontal="center" vertical="center"/>
      <protection locked="0"/>
    </xf>
    <xf numFmtId="1" fontId="1" fillId="2" borderId="72" xfId="0" applyNumberFormat="1" applyFont="1" applyFill="1" applyBorder="1" applyAlignment="1" applyProtection="1">
      <alignment horizontal="center" vertical="center"/>
      <protection locked="0"/>
    </xf>
    <xf numFmtId="1" fontId="1" fillId="2" borderId="73" xfId="0" applyNumberFormat="1" applyFont="1" applyFill="1" applyBorder="1" applyAlignment="1" applyProtection="1">
      <alignment horizontal="center" vertical="center"/>
      <protection locked="0"/>
    </xf>
    <xf numFmtId="4" fontId="63" fillId="2" borderId="0" xfId="0" applyNumberFormat="1" applyFont="1" applyFill="1" applyAlignment="1">
      <alignment horizontal="right"/>
    </xf>
    <xf numFmtId="4" fontId="7" fillId="2" borderId="190" xfId="0" applyNumberFormat="1" applyFont="1" applyFill="1" applyBorder="1" applyAlignment="1">
      <alignment vertical="center"/>
    </xf>
    <xf numFmtId="4" fontId="7" fillId="3" borderId="190" xfId="0" applyNumberFormat="1" applyFont="1" applyFill="1" applyBorder="1" applyAlignment="1">
      <alignment vertical="center"/>
    </xf>
    <xf numFmtId="4" fontId="14" fillId="2" borderId="191" xfId="0" applyNumberFormat="1" applyFont="1" applyFill="1" applyBorder="1" applyAlignment="1">
      <alignment vertical="center"/>
    </xf>
    <xf numFmtId="4" fontId="14" fillId="3" borderId="191" xfId="0" applyNumberFormat="1" applyFont="1" applyFill="1" applyBorder="1" applyAlignment="1">
      <alignment vertical="center"/>
    </xf>
    <xf numFmtId="0" fontId="63" fillId="2" borderId="0" xfId="0" applyFont="1" applyFill="1" applyAlignment="1">
      <alignment horizontal="right"/>
    </xf>
    <xf numFmtId="4" fontId="14" fillId="2" borderId="194" xfId="0" applyNumberFormat="1" applyFont="1" applyFill="1" applyBorder="1" applyAlignment="1">
      <alignment vertical="center"/>
    </xf>
    <xf numFmtId="4" fontId="14" fillId="3" borderId="194" xfId="0" applyNumberFormat="1" applyFont="1" applyFill="1" applyBorder="1" applyAlignment="1">
      <alignment vertical="center"/>
    </xf>
    <xf numFmtId="4" fontId="37" fillId="2" borderId="0" xfId="0" applyNumberFormat="1" applyFont="1" applyFill="1" applyAlignment="1">
      <alignment horizontal="center"/>
    </xf>
    <xf numFmtId="4" fontId="19" fillId="2" borderId="195" xfId="0" applyNumberFormat="1" applyFont="1" applyFill="1" applyBorder="1" applyAlignment="1">
      <alignment horizontal="right"/>
    </xf>
    <xf numFmtId="4" fontId="18" fillId="2" borderId="0" xfId="0" applyNumberFormat="1" applyFont="1" applyFill="1" applyAlignment="1">
      <alignment horizontal="center"/>
    </xf>
    <xf numFmtId="4" fontId="19" fillId="2" borderId="0" xfId="0" applyNumberFormat="1" applyFont="1" applyFill="1" applyAlignment="1">
      <alignment horizontal="center"/>
    </xf>
    <xf numFmtId="4" fontId="66" fillId="2" borderId="0" xfId="0" applyNumberFormat="1" applyFont="1" applyFill="1" applyAlignment="1">
      <alignment horizontal="left"/>
    </xf>
    <xf numFmtId="4" fontId="66" fillId="2" borderId="0" xfId="0" applyNumberFormat="1" applyFont="1" applyFill="1" applyAlignment="1">
      <alignment horizontal="right"/>
    </xf>
    <xf numFmtId="0" fontId="1" fillId="3" borderId="95" xfId="0" applyFont="1" applyFill="1" applyBorder="1" applyAlignment="1">
      <alignment vertical="center"/>
    </xf>
    <xf numFmtId="0" fontId="62" fillId="2" borderId="54" xfId="0" applyFont="1" applyFill="1" applyBorder="1" applyAlignment="1">
      <alignment horizontal="center"/>
    </xf>
    <xf numFmtId="0" fontId="62" fillId="2" borderId="0" xfId="0" applyFont="1" applyFill="1"/>
    <xf numFmtId="4" fontId="62" fillId="2" borderId="28" xfId="0" applyNumberFormat="1" applyFont="1" applyFill="1" applyBorder="1" applyProtection="1">
      <protection locked="0"/>
    </xf>
    <xf numFmtId="4" fontId="62" fillId="2" borderId="115" xfId="0" applyNumberFormat="1" applyFont="1" applyFill="1" applyBorder="1" applyProtection="1">
      <protection locked="0"/>
    </xf>
    <xf numFmtId="4" fontId="62" fillId="2" borderId="55" xfId="0" applyNumberFormat="1" applyFont="1" applyFill="1" applyBorder="1" applyProtection="1">
      <protection locked="0"/>
    </xf>
    <xf numFmtId="0" fontId="7" fillId="2" borderId="68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left" vertical="center"/>
    </xf>
    <xf numFmtId="0" fontId="29" fillId="2" borderId="0" xfId="0" applyFont="1" applyFill="1" applyAlignment="1">
      <alignment horizontal="left"/>
    </xf>
    <xf numFmtId="0" fontId="14" fillId="2" borderId="59" xfId="0" applyFont="1" applyFill="1" applyBorder="1" applyAlignment="1" applyProtection="1">
      <alignment horizontal="center" vertical="center"/>
      <protection locked="0"/>
    </xf>
    <xf numFmtId="0" fontId="14" fillId="2" borderId="98" xfId="0" applyFont="1" applyFill="1" applyBorder="1" applyAlignment="1" applyProtection="1">
      <alignment horizontal="center" vertical="center"/>
      <protection locked="0"/>
    </xf>
    <xf numFmtId="0" fontId="14" fillId="2" borderId="184" xfId="0" applyFont="1" applyFill="1" applyBorder="1" applyAlignment="1" applyProtection="1">
      <alignment horizontal="center" vertical="center"/>
      <protection locked="0"/>
    </xf>
    <xf numFmtId="0" fontId="14" fillId="2" borderId="65" xfId="0" applyFont="1" applyFill="1" applyBorder="1" applyAlignment="1" applyProtection="1">
      <alignment horizontal="center" vertical="center"/>
      <protection locked="0"/>
    </xf>
    <xf numFmtId="0" fontId="14" fillId="2" borderId="92" xfId="0" applyFont="1" applyFill="1" applyBorder="1" applyAlignment="1" applyProtection="1">
      <alignment horizontal="center" vertical="center"/>
      <protection locked="0"/>
    </xf>
    <xf numFmtId="0" fontId="19" fillId="0" borderId="199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vertical="center"/>
      <protection locked="0"/>
    </xf>
    <xf numFmtId="0" fontId="19" fillId="0" borderId="200" xfId="0" applyFont="1" applyBorder="1" applyAlignment="1" applyProtection="1">
      <alignment vertical="center"/>
      <protection locked="0"/>
    </xf>
    <xf numFmtId="0" fontId="29" fillId="2" borderId="0" xfId="0" quotePrefix="1" applyFont="1" applyFill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4" fillId="2" borderId="71" xfId="0" applyFont="1" applyFill="1" applyBorder="1" applyAlignment="1">
      <alignment horizontal="left" vertical="center"/>
    </xf>
    <xf numFmtId="0" fontId="1" fillId="0" borderId="55" xfId="0" applyFont="1" applyBorder="1" applyAlignment="1">
      <alignment horizontal="left" vertical="center"/>
    </xf>
    <xf numFmtId="0" fontId="14" fillId="2" borderId="98" xfId="0" applyFont="1" applyFill="1" applyBorder="1" applyAlignment="1">
      <alignment horizontal="left" vertical="center"/>
    </xf>
    <xf numFmtId="4" fontId="14" fillId="2" borderId="95" xfId="0" applyNumberFormat="1" applyFont="1" applyFill="1" applyBorder="1" applyAlignment="1" applyProtection="1">
      <alignment horizontal="left" vertical="center"/>
      <protection locked="0"/>
    </xf>
    <xf numFmtId="4" fontId="14" fillId="2" borderId="191" xfId="0" applyNumberFormat="1" applyFont="1" applyFill="1" applyBorder="1" applyAlignment="1" applyProtection="1">
      <alignment horizontal="right" vertical="center"/>
      <protection locked="0"/>
    </xf>
    <xf numFmtId="4" fontId="14" fillId="2" borderId="173" xfId="0" applyNumberFormat="1" applyFont="1" applyFill="1" applyBorder="1" applyAlignment="1" applyProtection="1">
      <alignment horizontal="right" vertical="center"/>
      <protection locked="0"/>
    </xf>
    <xf numFmtId="0" fontId="14" fillId="0" borderId="10" xfId="0" applyFont="1" applyBorder="1" applyAlignment="1">
      <alignment horizontal="left"/>
    </xf>
    <xf numFmtId="0" fontId="14" fillId="2" borderId="60" xfId="0" applyFont="1" applyFill="1" applyBorder="1" applyAlignment="1">
      <alignment horizontal="left" vertical="center"/>
    </xf>
    <xf numFmtId="0" fontId="14" fillId="2" borderId="62" xfId="0" applyFont="1" applyFill="1" applyBorder="1" applyAlignment="1">
      <alignment vertical="center"/>
    </xf>
    <xf numFmtId="4" fontId="14" fillId="2" borderId="192" xfId="0" applyNumberFormat="1" applyFont="1" applyFill="1" applyBorder="1" applyAlignment="1" applyProtection="1">
      <alignment horizontal="right" vertical="center"/>
      <protection locked="0"/>
    </xf>
    <xf numFmtId="4" fontId="14" fillId="2" borderId="175" xfId="0" applyNumberFormat="1" applyFont="1" applyFill="1" applyBorder="1" applyAlignment="1" applyProtection="1">
      <alignment horizontal="right" vertical="center"/>
      <protection locked="0"/>
    </xf>
    <xf numFmtId="0" fontId="14" fillId="2" borderId="95" xfId="0" applyFont="1" applyFill="1" applyBorder="1" applyAlignment="1">
      <alignment horizontal="left" vertical="center"/>
    </xf>
    <xf numFmtId="0" fontId="14" fillId="2" borderId="60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left" vertical="center"/>
    </xf>
    <xf numFmtId="0" fontId="14" fillId="2" borderId="54" xfId="0" applyFont="1" applyFill="1" applyBorder="1" applyAlignment="1">
      <alignment vertical="center"/>
    </xf>
    <xf numFmtId="0" fontId="14" fillId="2" borderId="55" xfId="0" applyFont="1" applyFill="1" applyBorder="1" applyAlignment="1">
      <alignment vertical="center"/>
    </xf>
    <xf numFmtId="0" fontId="14" fillId="2" borderId="55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4" fillId="2" borderId="191" xfId="0" applyFont="1" applyFill="1" applyBorder="1" applyAlignment="1">
      <alignment horizontal="left" vertical="center"/>
    </xf>
    <xf numFmtId="0" fontId="7" fillId="2" borderId="173" xfId="0" applyFont="1" applyFill="1" applyBorder="1" applyAlignment="1">
      <alignment horizontal="left" vertical="center"/>
    </xf>
    <xf numFmtId="0" fontId="14" fillId="0" borderId="55" xfId="0" applyFont="1" applyBorder="1" applyAlignment="1">
      <alignment horizontal="left" vertical="center"/>
    </xf>
    <xf numFmtId="0" fontId="14" fillId="2" borderId="174" xfId="0" applyFont="1" applyFill="1" applyBorder="1" applyAlignment="1">
      <alignment horizontal="left" vertical="center"/>
    </xf>
    <xf numFmtId="0" fontId="13" fillId="2" borderId="175" xfId="0" applyFont="1" applyFill="1" applyBorder="1" applyAlignment="1">
      <alignment horizontal="left" vertical="center"/>
    </xf>
    <xf numFmtId="0" fontId="14" fillId="2" borderId="174" xfId="0" applyFont="1" applyFill="1" applyBorder="1" applyAlignment="1">
      <alignment vertical="center"/>
    </xf>
    <xf numFmtId="0" fontId="14" fillId="2" borderId="175" xfId="0" applyFont="1" applyFill="1" applyBorder="1" applyAlignment="1">
      <alignment vertical="center"/>
    </xf>
    <xf numFmtId="0" fontId="14" fillId="0" borderId="98" xfId="0" applyFont="1" applyBorder="1" applyAlignment="1">
      <alignment horizontal="left" vertical="center"/>
    </xf>
    <xf numFmtId="0" fontId="14" fillId="2" borderId="176" xfId="0" applyFont="1" applyFill="1" applyBorder="1" applyAlignment="1">
      <alignment vertical="center"/>
    </xf>
    <xf numFmtId="0" fontId="14" fillId="2" borderId="177" xfId="0" applyFont="1" applyFill="1" applyBorder="1" applyAlignment="1">
      <alignment vertical="center"/>
    </xf>
    <xf numFmtId="4" fontId="1" fillId="3" borderId="15" xfId="0" applyNumberFormat="1" applyFont="1" applyFill="1" applyBorder="1" applyAlignment="1">
      <alignment horizontal="left" vertical="center"/>
    </xf>
    <xf numFmtId="0" fontId="14" fillId="0" borderId="54" xfId="0" applyFont="1" applyBorder="1" applyAlignment="1">
      <alignment horizontal="left" vertical="center"/>
    </xf>
    <xf numFmtId="0" fontId="13" fillId="0" borderId="55" xfId="0" applyFont="1" applyBorder="1" applyAlignment="1">
      <alignment horizontal="left" vertical="center"/>
    </xf>
    <xf numFmtId="0" fontId="1" fillId="2" borderId="95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7" fillId="3" borderId="66" xfId="0" applyFont="1" applyFill="1" applyBorder="1" applyAlignment="1">
      <alignment vertical="center"/>
    </xf>
    <xf numFmtId="0" fontId="7" fillId="3" borderId="66" xfId="0" applyFont="1" applyFill="1" applyBorder="1" applyAlignment="1">
      <alignment horizontal="center"/>
    </xf>
    <xf numFmtId="0" fontId="1" fillId="2" borderId="73" xfId="0" applyFont="1" applyFill="1" applyBorder="1" applyAlignment="1">
      <alignment vertical="center"/>
    </xf>
    <xf numFmtId="0" fontId="1" fillId="3" borderId="73" xfId="0" applyFont="1" applyFill="1" applyBorder="1" applyAlignment="1">
      <alignment vertical="center"/>
    </xf>
    <xf numFmtId="0" fontId="1" fillId="2" borderId="60" xfId="0" applyFont="1" applyFill="1" applyBorder="1" applyAlignment="1">
      <alignment vertical="center"/>
    </xf>
    <xf numFmtId="4" fontId="7" fillId="2" borderId="99" xfId="0" applyNumberFormat="1" applyFont="1" applyFill="1" applyBorder="1" applyAlignment="1">
      <alignment vertical="center"/>
    </xf>
    <xf numFmtId="4" fontId="7" fillId="2" borderId="142" xfId="0" applyNumberFormat="1" applyFont="1" applyFill="1" applyBorder="1" applyAlignment="1">
      <alignment vertical="center"/>
    </xf>
    <xf numFmtId="0" fontId="13" fillId="3" borderId="70" xfId="0" applyFont="1" applyFill="1" applyBorder="1" applyAlignment="1">
      <alignment horizontal="center" vertical="center" wrapText="1"/>
    </xf>
    <xf numFmtId="0" fontId="7" fillId="2" borderId="205" xfId="0" applyFont="1" applyFill="1" applyBorder="1" applyAlignment="1">
      <alignment vertical="center"/>
    </xf>
    <xf numFmtId="4" fontId="14" fillId="2" borderId="173" xfId="0" applyNumberFormat="1" applyFont="1" applyFill="1" applyBorder="1" applyAlignment="1">
      <alignment vertical="center"/>
    </xf>
    <xf numFmtId="4" fontId="14" fillId="2" borderId="175" xfId="0" applyNumberFormat="1" applyFont="1" applyFill="1" applyBorder="1" applyAlignment="1">
      <alignment vertical="center"/>
    </xf>
    <xf numFmtId="4" fontId="14" fillId="2" borderId="186" xfId="0" applyNumberFormat="1" applyFont="1" applyFill="1" applyBorder="1" applyAlignment="1">
      <alignment vertical="center"/>
    </xf>
    <xf numFmtId="4" fontId="14" fillId="2" borderId="185" xfId="0" applyNumberFormat="1" applyFont="1" applyFill="1" applyBorder="1" applyAlignment="1">
      <alignment vertical="center"/>
    </xf>
    <xf numFmtId="4" fontId="14" fillId="3" borderId="185" xfId="0" applyNumberFormat="1" applyFont="1" applyFill="1" applyBorder="1" applyAlignment="1">
      <alignment vertical="center"/>
    </xf>
    <xf numFmtId="4" fontId="7" fillId="2" borderId="206" xfId="0" applyNumberFormat="1" applyFont="1" applyFill="1" applyBorder="1" applyAlignment="1">
      <alignment vertical="center"/>
    </xf>
    <xf numFmtId="4" fontId="7" fillId="3" borderId="206" xfId="0" applyNumberFormat="1" applyFont="1" applyFill="1" applyBorder="1" applyAlignment="1">
      <alignment vertical="center"/>
    </xf>
    <xf numFmtId="4" fontId="14" fillId="2" borderId="207" xfId="0" applyNumberFormat="1" applyFont="1" applyFill="1" applyBorder="1" applyAlignment="1">
      <alignment vertical="center"/>
    </xf>
    <xf numFmtId="4" fontId="14" fillId="3" borderId="207" xfId="0" applyNumberFormat="1" applyFont="1" applyFill="1" applyBorder="1" applyAlignment="1">
      <alignment vertic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center"/>
    </xf>
    <xf numFmtId="0" fontId="7" fillId="2" borderId="65" xfId="0" applyFont="1" applyFill="1" applyBorder="1" applyAlignment="1" applyProtection="1">
      <alignment vertical="center"/>
      <protection locked="0"/>
    </xf>
    <xf numFmtId="0" fontId="1" fillId="2" borderId="63" xfId="0" applyFont="1" applyFill="1" applyBorder="1" applyAlignment="1">
      <alignment vertical="center"/>
    </xf>
    <xf numFmtId="0" fontId="49" fillId="6" borderId="209" xfId="0" applyFont="1" applyFill="1" applyBorder="1" applyAlignment="1">
      <alignment horizontal="left" vertical="center"/>
    </xf>
    <xf numFmtId="4" fontId="7" fillId="2" borderId="89" xfId="0" applyNumberFormat="1" applyFont="1" applyFill="1" applyBorder="1"/>
    <xf numFmtId="0" fontId="1" fillId="2" borderId="87" xfId="0" applyFont="1" applyFill="1" applyBorder="1" applyAlignment="1">
      <alignment horizontal="left" vertical="center" indent="1"/>
    </xf>
    <xf numFmtId="4" fontId="7" fillId="2" borderId="92" xfId="0" applyNumberFormat="1" applyFont="1" applyFill="1" applyBorder="1" applyAlignment="1">
      <alignment horizontal="left" vertical="center"/>
    </xf>
    <xf numFmtId="0" fontId="7" fillId="2" borderId="87" xfId="0" applyFont="1" applyFill="1" applyBorder="1" applyAlignment="1">
      <alignment horizontal="left" vertical="center"/>
    </xf>
    <xf numFmtId="0" fontId="7" fillId="2" borderId="88" xfId="0" applyFont="1" applyFill="1" applyBorder="1" applyAlignment="1">
      <alignment horizontal="left" vertical="center"/>
    </xf>
    <xf numFmtId="4" fontId="7" fillId="2" borderId="89" xfId="0" applyNumberFormat="1" applyFont="1" applyFill="1" applyBorder="1" applyAlignment="1" applyProtection="1">
      <alignment vertical="center"/>
      <protection locked="0"/>
    </xf>
    <xf numFmtId="4" fontId="7" fillId="2" borderId="169" xfId="0" applyNumberFormat="1" applyFont="1" applyFill="1" applyBorder="1" applyAlignment="1" applyProtection="1">
      <alignment vertical="center"/>
      <protection locked="0"/>
    </xf>
    <xf numFmtId="4" fontId="7" fillId="2" borderId="91" xfId="0" applyNumberFormat="1" applyFont="1" applyFill="1" applyBorder="1" applyAlignment="1" applyProtection="1">
      <alignment vertical="center"/>
      <protection locked="0"/>
    </xf>
    <xf numFmtId="4" fontId="7" fillId="2" borderId="170" xfId="0" applyNumberFormat="1" applyFont="1" applyFill="1" applyBorder="1" applyAlignment="1" applyProtection="1">
      <alignment horizontal="right" vertical="center"/>
      <protection locked="0"/>
    </xf>
    <xf numFmtId="0" fontId="1" fillId="2" borderId="63" xfId="0" applyFont="1" applyFill="1" applyBorder="1" applyAlignment="1">
      <alignment horizontal="left" vertical="center" indent="1"/>
    </xf>
    <xf numFmtId="0" fontId="1" fillId="2" borderId="88" xfId="0" applyFont="1" applyFill="1" applyBorder="1" applyAlignment="1">
      <alignment horizontal="left" vertical="center" indent="1"/>
    </xf>
    <xf numFmtId="4" fontId="7" fillId="2" borderId="92" xfId="0" applyNumberFormat="1" applyFont="1" applyFill="1" applyBorder="1" applyAlignment="1">
      <alignment horizontal="left" vertical="center" indent="1"/>
    </xf>
    <xf numFmtId="4" fontId="7" fillId="2" borderId="214" xfId="0" applyNumberFormat="1" applyFont="1" applyFill="1" applyBorder="1" applyAlignment="1">
      <alignment vertical="center"/>
    </xf>
    <xf numFmtId="0" fontId="26" fillId="3" borderId="70" xfId="132" applyFont="1" applyFill="1" applyBorder="1" applyAlignment="1">
      <alignment horizontal="center" wrapText="1"/>
    </xf>
    <xf numFmtId="0" fontId="7" fillId="3" borderId="54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0" fontId="26" fillId="3" borderId="55" xfId="132" applyFont="1" applyFill="1" applyBorder="1" applyAlignment="1">
      <alignment horizontal="center" wrapText="1"/>
    </xf>
    <xf numFmtId="4" fontId="7" fillId="2" borderId="169" xfId="0" applyNumberFormat="1" applyFont="1" applyFill="1" applyBorder="1"/>
    <xf numFmtId="4" fontId="7" fillId="2" borderId="91" xfId="0" applyNumberFormat="1" applyFont="1" applyFill="1" applyBorder="1"/>
    <xf numFmtId="4" fontId="7" fillId="2" borderId="170" xfId="0" applyNumberFormat="1" applyFont="1" applyFill="1" applyBorder="1" applyAlignment="1">
      <alignment horizontal="right"/>
    </xf>
    <xf numFmtId="4" fontId="7" fillId="2" borderId="89" xfId="0" applyNumberFormat="1" applyFont="1" applyFill="1" applyBorder="1" applyAlignment="1">
      <alignment vertical="center"/>
    </xf>
    <xf numFmtId="4" fontId="7" fillId="2" borderId="169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vertical="center"/>
    </xf>
    <xf numFmtId="0" fontId="26" fillId="3" borderId="17" xfId="132" applyFont="1" applyFill="1" applyBorder="1" applyAlignment="1">
      <alignment horizontal="left" wrapText="1"/>
    </xf>
    <xf numFmtId="0" fontId="26" fillId="3" borderId="18" xfId="132" applyFont="1" applyFill="1" applyBorder="1" applyAlignment="1">
      <alignment horizontal="left" wrapText="1"/>
    </xf>
    <xf numFmtId="0" fontId="26" fillId="2" borderId="70" xfId="132" applyFont="1" applyFill="1" applyBorder="1" applyAlignment="1">
      <alignment horizontal="center" wrapText="1"/>
    </xf>
    <xf numFmtId="4" fontId="7" fillId="2" borderId="95" xfId="0" applyNumberFormat="1" applyFont="1" applyFill="1" applyBorder="1"/>
    <xf numFmtId="0" fontId="1" fillId="2" borderId="0" xfId="0" applyFont="1" applyFill="1" applyAlignment="1">
      <alignment horizontal="left"/>
    </xf>
    <xf numFmtId="0" fontId="7" fillId="2" borderId="51" xfId="0" applyFont="1" applyFill="1" applyBorder="1" applyAlignment="1">
      <alignment horizontal="left" vertical="center" wrapText="1"/>
    </xf>
    <xf numFmtId="0" fontId="7" fillId="2" borderId="52" xfId="0" applyFont="1" applyFill="1" applyBorder="1" applyAlignment="1">
      <alignment horizontal="left" vertical="center" wrapText="1"/>
    </xf>
    <xf numFmtId="0" fontId="7" fillId="2" borderId="53" xfId="0" applyFont="1" applyFill="1" applyBorder="1" applyAlignment="1">
      <alignment horizontal="left" vertical="center" wrapText="1"/>
    </xf>
    <xf numFmtId="4" fontId="7" fillId="2" borderId="70" xfId="0" applyNumberFormat="1" applyFont="1" applyFill="1" applyBorder="1" applyAlignment="1">
      <alignment vertical="center"/>
    </xf>
    <xf numFmtId="4" fontId="7" fillId="2" borderId="41" xfId="0" applyNumberFormat="1" applyFont="1" applyFill="1" applyBorder="1" applyAlignment="1" applyProtection="1">
      <alignment vertical="center"/>
      <protection locked="0"/>
    </xf>
    <xf numFmtId="4" fontId="1" fillId="2" borderId="216" xfId="0" applyNumberFormat="1" applyFont="1" applyFill="1" applyBorder="1" applyAlignment="1" applyProtection="1">
      <alignment vertical="center"/>
      <protection locked="0"/>
    </xf>
    <xf numFmtId="4" fontId="47" fillId="2" borderId="54" xfId="0" applyNumberFormat="1" applyFont="1" applyFill="1" applyBorder="1" applyAlignment="1">
      <alignment horizontal="center" vertical="center"/>
    </xf>
    <xf numFmtId="4" fontId="48" fillId="2" borderId="55" xfId="0" applyNumberFormat="1" applyFont="1" applyFill="1" applyBorder="1" applyAlignment="1">
      <alignment horizontal="left" vertical="center"/>
    </xf>
    <xf numFmtId="0" fontId="1" fillId="2" borderId="0" xfId="0" quotePrefix="1" applyFont="1" applyFill="1" applyAlignment="1">
      <alignment horizontal="left" vertical="center"/>
    </xf>
    <xf numFmtId="0" fontId="1" fillId="2" borderId="62" xfId="0" applyFont="1" applyFill="1" applyBorder="1" applyAlignment="1" applyProtection="1">
      <alignment horizontal="left" vertical="center"/>
      <protection locked="0"/>
    </xf>
    <xf numFmtId="0" fontId="1" fillId="2" borderId="67" xfId="0" applyFont="1" applyFill="1" applyBorder="1" applyAlignment="1">
      <alignment horizontal="left" vertical="center"/>
    </xf>
    <xf numFmtId="0" fontId="1" fillId="2" borderId="68" xfId="0" applyFont="1" applyFill="1" applyBorder="1" applyAlignment="1">
      <alignment horizontal="left" vertical="center"/>
    </xf>
    <xf numFmtId="0" fontId="25" fillId="3" borderId="99" xfId="132" applyFont="1" applyFill="1" applyBorder="1" applyAlignment="1">
      <alignment horizontal="center" wrapText="1"/>
    </xf>
    <xf numFmtId="0" fontId="25" fillId="3" borderId="100" xfId="132" applyFont="1" applyFill="1" applyBorder="1" applyAlignment="1">
      <alignment horizontal="center" wrapText="1"/>
    </xf>
    <xf numFmtId="0" fontId="25" fillId="3" borderId="101" xfId="132" applyFont="1" applyFill="1" applyBorder="1" applyAlignment="1">
      <alignment horizontal="center" wrapText="1"/>
    </xf>
    <xf numFmtId="0" fontId="68" fillId="2" borderId="0" xfId="0" applyFont="1" applyFill="1" applyAlignment="1">
      <alignment horizontal="left" vertical="center"/>
    </xf>
    <xf numFmtId="0" fontId="69" fillId="2" borderId="0" xfId="0" applyFont="1" applyFill="1" applyAlignment="1">
      <alignment vertical="center"/>
    </xf>
    <xf numFmtId="0" fontId="69" fillId="2" borderId="0" xfId="0" applyFont="1" applyFill="1" applyAlignment="1">
      <alignment horizontal="left" vertical="center"/>
    </xf>
    <xf numFmtId="0" fontId="70" fillId="2" borderId="0" xfId="0" applyFont="1" applyFill="1" applyAlignment="1">
      <alignment vertic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0" xfId="0" applyFont="1" applyFill="1" applyAlignment="1">
      <alignment horizontal="center"/>
    </xf>
    <xf numFmtId="0" fontId="1" fillId="0" borderId="0" xfId="0" applyFont="1"/>
    <xf numFmtId="0" fontId="1" fillId="2" borderId="20" xfId="0" applyFont="1" applyFill="1" applyBorder="1" applyAlignment="1">
      <alignment horizontal="left"/>
    </xf>
    <xf numFmtId="0" fontId="1" fillId="2" borderId="11" xfId="0" applyFont="1" applyFill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2" borderId="208" xfId="0" applyFont="1" applyFill="1" applyBorder="1" applyAlignment="1">
      <alignment vertical="center"/>
    </xf>
    <xf numFmtId="0" fontId="2" fillId="2" borderId="72" xfId="0" applyFont="1" applyFill="1" applyBorder="1" applyAlignment="1">
      <alignment vertical="center"/>
    </xf>
    <xf numFmtId="0" fontId="2" fillId="3" borderId="72" xfId="0" applyFont="1" applyFill="1" applyBorder="1" applyAlignment="1">
      <alignment vertical="center"/>
    </xf>
    <xf numFmtId="0" fontId="1" fillId="3" borderId="15" xfId="0" applyFont="1" applyFill="1" applyBorder="1" applyAlignment="1">
      <alignment vertical="center"/>
    </xf>
    <xf numFmtId="164" fontId="1" fillId="2" borderId="12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2" borderId="2" xfId="0" applyFont="1" applyFill="1" applyBorder="1"/>
    <xf numFmtId="4" fontId="1" fillId="2" borderId="73" xfId="0" applyNumberFormat="1" applyFont="1" applyFill="1" applyBorder="1" applyAlignment="1" applyProtection="1">
      <alignment vertical="center"/>
      <protection locked="0"/>
    </xf>
    <xf numFmtId="0" fontId="1" fillId="2" borderId="87" xfId="0" applyFont="1" applyFill="1" applyBorder="1" applyAlignment="1" applyProtection="1">
      <alignment vertical="center"/>
      <protection locked="0"/>
    </xf>
    <xf numFmtId="0" fontId="1" fillId="2" borderId="92" xfId="0" applyFont="1" applyFill="1" applyBorder="1" applyAlignment="1" applyProtection="1">
      <alignment vertical="center"/>
      <protection locked="0"/>
    </xf>
    <xf numFmtId="0" fontId="1" fillId="2" borderId="89" xfId="0" applyFont="1" applyFill="1" applyBorder="1" applyAlignment="1" applyProtection="1">
      <alignment horizontal="left" vertical="center"/>
      <protection locked="0"/>
    </xf>
    <xf numFmtId="0" fontId="1" fillId="2" borderId="59" xfId="0" applyFont="1" applyFill="1" applyBorder="1" applyAlignment="1" applyProtection="1">
      <alignment vertical="center"/>
      <protection locked="0"/>
    </xf>
    <xf numFmtId="4" fontId="1" fillId="2" borderId="71" xfId="0" applyNumberFormat="1" applyFont="1" applyFill="1" applyBorder="1" applyAlignment="1" applyProtection="1">
      <alignment vertical="center"/>
      <protection locked="0"/>
    </xf>
    <xf numFmtId="0" fontId="1" fillId="2" borderId="71" xfId="0" applyFont="1" applyFill="1" applyBorder="1" applyAlignment="1" applyProtection="1">
      <alignment horizontal="left" vertical="center"/>
      <protection locked="0"/>
    </xf>
    <xf numFmtId="4" fontId="1" fillId="2" borderId="60" xfId="0" applyNumberFormat="1" applyFont="1" applyFill="1" applyBorder="1" applyAlignment="1" applyProtection="1">
      <alignment horizontal="left" vertical="center"/>
      <protection locked="0"/>
    </xf>
    <xf numFmtId="4" fontId="1" fillId="2" borderId="62" xfId="0" applyNumberFormat="1" applyFont="1" applyFill="1" applyBorder="1" applyAlignment="1" applyProtection="1">
      <alignment horizontal="left" vertical="center"/>
      <protection locked="0"/>
    </xf>
    <xf numFmtId="4" fontId="1" fillId="2" borderId="62" xfId="0" applyNumberFormat="1" applyFont="1" applyFill="1" applyBorder="1" applyAlignment="1">
      <alignment horizontal="left" vertical="center"/>
    </xf>
    <xf numFmtId="4" fontId="1" fillId="2" borderId="65" xfId="0" applyNumberFormat="1" applyFont="1" applyFill="1" applyBorder="1" applyAlignment="1" applyProtection="1">
      <alignment horizontal="left" vertical="center"/>
      <protection locked="0"/>
    </xf>
    <xf numFmtId="0" fontId="1" fillId="2" borderId="57" xfId="0" applyFont="1" applyFill="1" applyBorder="1" applyAlignment="1">
      <alignment vertical="center"/>
    </xf>
    <xf numFmtId="0" fontId="1" fillId="2" borderId="59" xfId="0" applyFont="1" applyFill="1" applyBorder="1" applyAlignment="1">
      <alignment vertical="center"/>
    </xf>
    <xf numFmtId="4" fontId="1" fillId="2" borderId="59" xfId="0" applyNumberFormat="1" applyFont="1" applyFill="1" applyBorder="1" applyAlignment="1" applyProtection="1">
      <alignment horizontal="left" vertical="center"/>
      <protection locked="0"/>
    </xf>
    <xf numFmtId="0" fontId="1" fillId="2" borderId="65" xfId="0" applyFont="1" applyFill="1" applyBorder="1" applyAlignment="1">
      <alignment vertical="center"/>
    </xf>
    <xf numFmtId="0" fontId="1" fillId="2" borderId="93" xfId="0" applyFont="1" applyFill="1" applyBorder="1" applyAlignment="1">
      <alignment vertical="center"/>
    </xf>
    <xf numFmtId="0" fontId="1" fillId="2" borderId="98" xfId="0" applyFont="1" applyFill="1" applyBorder="1" applyAlignment="1">
      <alignment vertical="center"/>
    </xf>
    <xf numFmtId="0" fontId="1" fillId="2" borderId="87" xfId="0" applyFont="1" applyFill="1" applyBorder="1" applyAlignment="1">
      <alignment vertical="center"/>
    </xf>
    <xf numFmtId="0" fontId="1" fillId="2" borderId="92" xfId="0" applyFont="1" applyFill="1" applyBorder="1" applyAlignment="1">
      <alignment vertical="center"/>
    </xf>
    <xf numFmtId="4" fontId="1" fillId="2" borderId="89" xfId="0" applyNumberFormat="1" applyFont="1" applyFill="1" applyBorder="1" applyAlignment="1" applyProtection="1">
      <alignment horizontal="right" vertical="center"/>
      <protection locked="0"/>
    </xf>
    <xf numFmtId="0" fontId="1" fillId="2" borderId="58" xfId="0" applyFont="1" applyFill="1" applyBorder="1" applyAlignment="1">
      <alignment horizontal="left" vertical="center"/>
    </xf>
    <xf numFmtId="0" fontId="1" fillId="2" borderId="59" xfId="0" applyFont="1" applyFill="1" applyBorder="1" applyAlignment="1">
      <alignment horizontal="left" vertical="center"/>
    </xf>
    <xf numFmtId="0" fontId="1" fillId="2" borderId="61" xfId="0" applyFont="1" applyFill="1" applyBorder="1" applyAlignment="1">
      <alignment vertical="center"/>
    </xf>
    <xf numFmtId="0" fontId="1" fillId="2" borderId="61" xfId="0" applyFont="1" applyFill="1" applyBorder="1" applyAlignment="1">
      <alignment horizontal="left" vertical="center"/>
    </xf>
    <xf numFmtId="4" fontId="1" fillId="2" borderId="0" xfId="0" applyNumberFormat="1" applyFont="1" applyFill="1" applyAlignment="1" applyProtection="1">
      <alignment vertical="center"/>
      <protection locked="0"/>
    </xf>
    <xf numFmtId="0" fontId="1" fillId="3" borderId="31" xfId="0" applyFont="1" applyFill="1" applyBorder="1" applyAlignment="1">
      <alignment horizontal="left" vertical="center"/>
    </xf>
    <xf numFmtId="0" fontId="1" fillId="2" borderId="35" xfId="0" applyFont="1" applyFill="1" applyBorder="1" applyAlignment="1" applyProtection="1">
      <alignment horizontal="center" vertical="center"/>
      <protection locked="0"/>
    </xf>
    <xf numFmtId="0" fontId="1" fillId="2" borderId="35" xfId="0" applyFont="1" applyFill="1" applyBorder="1" applyAlignment="1" applyProtection="1">
      <alignment vertical="center"/>
      <protection locked="0"/>
    </xf>
    <xf numFmtId="3" fontId="1" fillId="2" borderId="35" xfId="0" applyNumberFormat="1" applyFont="1" applyFill="1" applyBorder="1" applyAlignment="1" applyProtection="1">
      <alignment horizontal="center" vertical="center"/>
      <protection locked="0"/>
    </xf>
    <xf numFmtId="4" fontId="1" fillId="2" borderId="35" xfId="0" applyNumberFormat="1" applyFont="1" applyFill="1" applyBorder="1" applyAlignment="1" applyProtection="1">
      <alignment vertical="center"/>
      <protection locked="0"/>
    </xf>
    <xf numFmtId="0" fontId="1" fillId="2" borderId="36" xfId="0" applyFont="1" applyFill="1" applyBorder="1" applyAlignment="1" applyProtection="1">
      <alignment horizontal="center" vertical="center"/>
      <protection locked="0"/>
    </xf>
    <xf numFmtId="0" fontId="1" fillId="2" borderId="36" xfId="0" applyFont="1" applyFill="1" applyBorder="1" applyAlignment="1" applyProtection="1">
      <alignment vertical="center"/>
      <protection locked="0"/>
    </xf>
    <xf numFmtId="3" fontId="1" fillId="2" borderId="36" xfId="0" applyNumberFormat="1" applyFont="1" applyFill="1" applyBorder="1" applyAlignment="1" applyProtection="1">
      <alignment horizontal="center" vertical="center"/>
      <protection locked="0"/>
    </xf>
    <xf numFmtId="4" fontId="1" fillId="2" borderId="36" xfId="0" applyNumberFormat="1" applyFont="1" applyFill="1" applyBorder="1" applyAlignment="1" applyProtection="1">
      <alignment vertical="center"/>
      <protection locked="0"/>
    </xf>
    <xf numFmtId="3" fontId="1" fillId="2" borderId="0" xfId="0" applyNumberFormat="1" applyFont="1" applyFill="1" applyAlignment="1">
      <alignment horizontal="center" vertical="center"/>
    </xf>
    <xf numFmtId="4" fontId="1" fillId="2" borderId="75" xfId="0" applyNumberFormat="1" applyFont="1" applyFill="1" applyBorder="1" applyAlignment="1" applyProtection="1">
      <alignment vertical="center"/>
      <protection locked="0"/>
    </xf>
    <xf numFmtId="4" fontId="1" fillId="2" borderId="76" xfId="0" applyNumberFormat="1" applyFont="1" applyFill="1" applyBorder="1" applyAlignment="1" applyProtection="1">
      <alignment vertical="center"/>
      <protection locked="0"/>
    </xf>
    <xf numFmtId="4" fontId="1" fillId="2" borderId="77" xfId="0" applyNumberFormat="1" applyFont="1" applyFill="1" applyBorder="1" applyAlignment="1" applyProtection="1">
      <alignment vertical="center"/>
      <protection locked="0"/>
    </xf>
    <xf numFmtId="4" fontId="1" fillId="2" borderId="78" xfId="0" applyNumberFormat="1" applyFont="1" applyFill="1" applyBorder="1" applyAlignment="1" applyProtection="1">
      <alignment vertical="center"/>
      <protection locked="0"/>
    </xf>
    <xf numFmtId="4" fontId="1" fillId="2" borderId="80" xfId="0" applyNumberFormat="1" applyFont="1" applyFill="1" applyBorder="1" applyAlignment="1" applyProtection="1">
      <alignment vertical="center"/>
      <protection locked="0"/>
    </xf>
    <xf numFmtId="4" fontId="1" fillId="2" borderId="81" xfId="0" applyNumberFormat="1" applyFont="1" applyFill="1" applyBorder="1" applyAlignment="1" applyProtection="1">
      <alignment vertical="center"/>
      <protection locked="0"/>
    </xf>
    <xf numFmtId="4" fontId="1" fillId="2" borderId="82" xfId="0" applyNumberFormat="1" applyFont="1" applyFill="1" applyBorder="1" applyAlignment="1" applyProtection="1">
      <alignment vertical="center"/>
      <protection locked="0"/>
    </xf>
    <xf numFmtId="4" fontId="1" fillId="2" borderId="83" xfId="0" applyNumberFormat="1" applyFont="1" applyFill="1" applyBorder="1" applyAlignment="1" applyProtection="1">
      <alignment vertical="center"/>
      <protection locked="0"/>
    </xf>
    <xf numFmtId="4" fontId="1" fillId="2" borderId="66" xfId="0" applyNumberFormat="1" applyFont="1" applyFill="1" applyBorder="1" applyAlignment="1" applyProtection="1">
      <alignment horizontal="right" vertical="center"/>
      <protection locked="0"/>
    </xf>
    <xf numFmtId="4" fontId="1" fillId="2" borderId="84" xfId="0" applyNumberFormat="1" applyFont="1" applyFill="1" applyBorder="1" applyAlignment="1" applyProtection="1">
      <alignment horizontal="right" vertical="center"/>
      <protection locked="0"/>
    </xf>
    <xf numFmtId="4" fontId="1" fillId="2" borderId="85" xfId="0" applyNumberFormat="1" applyFont="1" applyFill="1" applyBorder="1" applyAlignment="1" applyProtection="1">
      <alignment horizontal="right" vertical="center"/>
      <protection locked="0"/>
    </xf>
    <xf numFmtId="4" fontId="1" fillId="2" borderId="86" xfId="0" applyNumberFormat="1" applyFont="1" applyFill="1" applyBorder="1" applyAlignment="1" applyProtection="1">
      <alignment horizontal="right" vertical="center"/>
      <protection locked="0"/>
    </xf>
    <xf numFmtId="4" fontId="1" fillId="2" borderId="69" xfId="0" applyNumberFormat="1" applyFont="1" applyFill="1" applyBorder="1" applyAlignment="1" applyProtection="1">
      <alignment horizontal="left" vertical="center"/>
      <protection locked="0"/>
    </xf>
    <xf numFmtId="0" fontId="2" fillId="2" borderId="95" xfId="0" applyFont="1" applyFill="1" applyBorder="1" applyAlignment="1" applyProtection="1">
      <alignment horizontal="center" vertical="center"/>
      <protection locked="0"/>
    </xf>
    <xf numFmtId="4" fontId="1" fillId="2" borderId="96" xfId="0" applyNumberFormat="1" applyFont="1" applyFill="1" applyBorder="1" applyAlignment="1" applyProtection="1">
      <alignment vertical="center"/>
      <protection locked="0"/>
    </xf>
    <xf numFmtId="4" fontId="1" fillId="2" borderId="97" xfId="0" applyNumberFormat="1" applyFont="1" applyFill="1" applyBorder="1" applyAlignment="1" applyProtection="1">
      <alignment vertical="center"/>
      <protection locked="0"/>
    </xf>
    <xf numFmtId="10" fontId="1" fillId="2" borderId="98" xfId="131" applyNumberFormat="1" applyFont="1" applyFill="1" applyBorder="1" applyAlignment="1" applyProtection="1">
      <alignment vertical="center"/>
      <protection locked="0"/>
    </xf>
    <xf numFmtId="4" fontId="1" fillId="2" borderId="98" xfId="0" applyNumberFormat="1" applyFont="1" applyFill="1" applyBorder="1" applyAlignment="1" applyProtection="1">
      <alignment vertical="center"/>
      <protection locked="0"/>
    </xf>
    <xf numFmtId="0" fontId="1" fillId="2" borderId="98" xfId="0" applyFont="1" applyFill="1" applyBorder="1" applyAlignment="1" applyProtection="1">
      <alignment horizontal="left" vertical="center"/>
      <protection locked="0"/>
    </xf>
    <xf numFmtId="0" fontId="2" fillId="2" borderId="72" xfId="0" applyFont="1" applyFill="1" applyBorder="1" applyAlignment="1" applyProtection="1">
      <alignment horizontal="center" vertical="center"/>
      <protection locked="0"/>
    </xf>
    <xf numFmtId="10" fontId="1" fillId="2" borderId="62" xfId="131" applyNumberFormat="1" applyFont="1" applyFill="1" applyBorder="1" applyAlignment="1" applyProtection="1">
      <alignment vertical="center"/>
      <protection locked="0"/>
    </xf>
    <xf numFmtId="4" fontId="1" fillId="2" borderId="62" xfId="0" applyNumberFormat="1" applyFont="1" applyFill="1" applyBorder="1" applyAlignment="1" applyProtection="1">
      <alignment vertical="center"/>
      <protection locked="0"/>
    </xf>
    <xf numFmtId="0" fontId="2" fillId="2" borderId="89" xfId="0" applyFont="1" applyFill="1" applyBorder="1" applyAlignment="1" applyProtection="1">
      <alignment horizontal="center" vertical="center"/>
      <protection locked="0"/>
    </xf>
    <xf numFmtId="4" fontId="1" fillId="2" borderId="90" xfId="0" applyNumberFormat="1" applyFont="1" applyFill="1" applyBorder="1" applyAlignment="1" applyProtection="1">
      <alignment vertical="center"/>
      <protection locked="0"/>
    </xf>
    <xf numFmtId="10" fontId="1" fillId="2" borderId="92" xfId="131" applyNumberFormat="1" applyFont="1" applyFill="1" applyBorder="1" applyAlignment="1" applyProtection="1">
      <alignment vertical="center"/>
      <protection locked="0"/>
    </xf>
    <xf numFmtId="4" fontId="1" fillId="2" borderId="92" xfId="0" applyNumberFormat="1" applyFont="1" applyFill="1" applyBorder="1" applyAlignment="1" applyProtection="1">
      <alignment vertical="center"/>
      <protection locked="0"/>
    </xf>
    <xf numFmtId="0" fontId="1" fillId="2" borderId="92" xfId="0" applyFont="1" applyFill="1" applyBorder="1" applyAlignment="1" applyProtection="1">
      <alignment horizontal="left" vertical="center"/>
      <protection locked="0"/>
    </xf>
    <xf numFmtId="0" fontId="1" fillId="2" borderId="63" xfId="0" applyFont="1" applyFill="1" applyBorder="1" applyAlignment="1" applyProtection="1">
      <alignment horizontal="left" vertical="center"/>
      <protection locked="0"/>
    </xf>
    <xf numFmtId="0" fontId="1" fillId="2" borderId="65" xfId="0" applyFont="1" applyFill="1" applyBorder="1" applyAlignment="1" applyProtection="1">
      <alignment horizontal="left" vertical="center"/>
      <protection locked="0"/>
    </xf>
    <xf numFmtId="0" fontId="2" fillId="2" borderId="73" xfId="0" applyFont="1" applyFill="1" applyBorder="1" applyAlignment="1" applyProtection="1">
      <alignment horizontal="center" vertical="center"/>
      <protection locked="0"/>
    </xf>
    <xf numFmtId="10" fontId="1" fillId="2" borderId="65" xfId="131" applyNumberFormat="1" applyFont="1" applyFill="1" applyBorder="1" applyAlignment="1" applyProtection="1">
      <alignment vertical="center"/>
      <protection locked="0"/>
    </xf>
    <xf numFmtId="4" fontId="1" fillId="2" borderId="65" xfId="0" applyNumberFormat="1" applyFont="1" applyFill="1" applyBorder="1" applyAlignment="1" applyProtection="1">
      <alignment vertical="center"/>
      <protection locked="0"/>
    </xf>
    <xf numFmtId="4" fontId="1" fillId="2" borderId="98" xfId="131" applyNumberFormat="1" applyFont="1" applyFill="1" applyBorder="1" applyAlignment="1" applyProtection="1">
      <alignment vertical="center"/>
      <protection locked="0"/>
    </xf>
    <xf numFmtId="4" fontId="1" fillId="2" borderId="62" xfId="131" applyNumberFormat="1" applyFont="1" applyFill="1" applyBorder="1" applyAlignment="1" applyProtection="1">
      <alignment vertical="center"/>
      <protection locked="0"/>
    </xf>
    <xf numFmtId="4" fontId="1" fillId="2" borderId="92" xfId="131" applyNumberFormat="1" applyFont="1" applyFill="1" applyBorder="1" applyAlignment="1" applyProtection="1">
      <alignment vertical="center"/>
      <protection locked="0"/>
    </xf>
    <xf numFmtId="4" fontId="1" fillId="2" borderId="65" xfId="131" applyNumberFormat="1" applyFont="1" applyFill="1" applyBorder="1" applyAlignment="1" applyProtection="1">
      <alignment vertical="center"/>
      <protection locked="0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4" fontId="1" fillId="2" borderId="60" xfId="0" applyNumberFormat="1" applyFont="1" applyFill="1" applyBorder="1" applyAlignment="1" applyProtection="1">
      <alignment vertical="center"/>
      <protection locked="0"/>
    </xf>
    <xf numFmtId="4" fontId="1" fillId="2" borderId="59" xfId="0" applyNumberFormat="1" applyFont="1" applyFill="1" applyBorder="1" applyAlignment="1" applyProtection="1">
      <alignment vertical="center"/>
      <protection locked="0"/>
    </xf>
    <xf numFmtId="4" fontId="1" fillId="2" borderId="139" xfId="0" applyNumberFormat="1" applyFont="1" applyFill="1" applyBorder="1" applyAlignment="1">
      <alignment vertical="center"/>
    </xf>
    <xf numFmtId="4" fontId="1" fillId="2" borderId="144" xfId="0" applyNumberFormat="1" applyFont="1" applyFill="1" applyBorder="1" applyAlignment="1" applyProtection="1">
      <alignment vertical="center"/>
      <protection locked="0"/>
    </xf>
    <xf numFmtId="4" fontId="1" fillId="2" borderId="59" xfId="0" applyNumberFormat="1" applyFont="1" applyFill="1" applyBorder="1" applyAlignment="1">
      <alignment vertical="center"/>
    </xf>
    <xf numFmtId="4" fontId="1" fillId="2" borderId="150" xfId="0" applyNumberFormat="1" applyFont="1" applyFill="1" applyBorder="1" applyAlignment="1" applyProtection="1">
      <alignment vertical="center"/>
      <protection locked="0"/>
    </xf>
    <xf numFmtId="0" fontId="1" fillId="2" borderId="59" xfId="0" applyFont="1" applyFill="1" applyBorder="1" applyAlignment="1" applyProtection="1">
      <alignment horizontal="center" vertical="center"/>
      <protection locked="0"/>
    </xf>
    <xf numFmtId="4" fontId="1" fillId="2" borderId="140" xfId="0" applyNumberFormat="1" applyFont="1" applyFill="1" applyBorder="1" applyAlignment="1">
      <alignment vertical="center"/>
    </xf>
    <xf numFmtId="4" fontId="1" fillId="2" borderId="145" xfId="0" applyNumberFormat="1" applyFont="1" applyFill="1" applyBorder="1" applyAlignment="1" applyProtection="1">
      <alignment vertical="center"/>
      <protection locked="0"/>
    </xf>
    <xf numFmtId="4" fontId="1" fillId="2" borderId="98" xfId="0" applyNumberFormat="1" applyFont="1" applyFill="1" applyBorder="1" applyAlignment="1">
      <alignment vertical="center"/>
    </xf>
    <xf numFmtId="4" fontId="1" fillId="2" borderId="151" xfId="0" applyNumberFormat="1" applyFont="1" applyFill="1" applyBorder="1" applyAlignment="1" applyProtection="1">
      <alignment vertical="center"/>
      <protection locked="0"/>
    </xf>
    <xf numFmtId="0" fontId="1" fillId="2" borderId="98" xfId="0" applyFont="1" applyFill="1" applyBorder="1" applyAlignment="1" applyProtection="1">
      <alignment horizontal="center" vertical="center"/>
      <protection locked="0"/>
    </xf>
    <xf numFmtId="4" fontId="1" fillId="2" borderId="146" xfId="0" applyNumberFormat="1" applyFont="1" applyFill="1" applyBorder="1" applyAlignment="1" applyProtection="1">
      <alignment vertical="center"/>
      <protection locked="0"/>
    </xf>
    <xf numFmtId="4" fontId="1" fillId="2" borderId="152" xfId="0" applyNumberFormat="1" applyFont="1" applyFill="1" applyBorder="1" applyAlignment="1" applyProtection="1">
      <alignment vertical="center"/>
      <protection locked="0"/>
    </xf>
    <xf numFmtId="0" fontId="1" fillId="2" borderId="62" xfId="0" applyFont="1" applyFill="1" applyBorder="1" applyAlignment="1" applyProtection="1">
      <alignment horizontal="center" vertical="center"/>
      <protection locked="0"/>
    </xf>
    <xf numFmtId="4" fontId="1" fillId="2" borderId="147" xfId="0" applyNumberFormat="1" applyFont="1" applyFill="1" applyBorder="1" applyAlignment="1" applyProtection="1">
      <alignment vertical="center"/>
      <protection locked="0"/>
    </xf>
    <xf numFmtId="4" fontId="1" fillId="2" borderId="153" xfId="0" applyNumberFormat="1" applyFont="1" applyFill="1" applyBorder="1" applyAlignment="1" applyProtection="1">
      <alignment vertical="center"/>
      <protection locked="0"/>
    </xf>
    <xf numFmtId="0" fontId="1" fillId="2" borderId="92" xfId="0" applyFont="1" applyFill="1" applyBorder="1" applyAlignment="1" applyProtection="1">
      <alignment horizontal="center" vertical="center"/>
      <protection locked="0"/>
    </xf>
    <xf numFmtId="4" fontId="1" fillId="2" borderId="141" xfId="0" applyNumberFormat="1" applyFont="1" applyFill="1" applyBorder="1" applyAlignment="1">
      <alignment vertical="center"/>
    </xf>
    <xf numFmtId="4" fontId="1" fillId="2" borderId="148" xfId="0" applyNumberFormat="1" applyFont="1" applyFill="1" applyBorder="1" applyAlignment="1" applyProtection="1">
      <alignment vertical="center"/>
      <protection locked="0"/>
    </xf>
    <xf numFmtId="4" fontId="1" fillId="2" borderId="65" xfId="0" applyNumberFormat="1" applyFont="1" applyFill="1" applyBorder="1" applyAlignment="1">
      <alignment vertical="center"/>
    </xf>
    <xf numFmtId="4" fontId="1" fillId="2" borderId="154" xfId="0" applyNumberFormat="1" applyFont="1" applyFill="1" applyBorder="1" applyAlignment="1" applyProtection="1">
      <alignment vertical="center"/>
      <protection locked="0"/>
    </xf>
    <xf numFmtId="4" fontId="1" fillId="2" borderId="16" xfId="0" applyNumberFormat="1" applyFont="1" applyFill="1" applyBorder="1" applyAlignment="1" applyProtection="1">
      <alignment vertical="center"/>
      <protection locked="0"/>
    </xf>
    <xf numFmtId="4" fontId="1" fillId="2" borderId="142" xfId="0" applyNumberFormat="1" applyFont="1" applyFill="1" applyBorder="1" applyAlignment="1" applyProtection="1">
      <alignment vertical="center"/>
      <protection locked="0"/>
    </xf>
    <xf numFmtId="4" fontId="1" fillId="2" borderId="0" xfId="0" applyNumberFormat="1" applyFont="1" applyFill="1" applyAlignment="1" applyProtection="1">
      <alignment horizontal="center" vertical="center"/>
      <protection locked="0"/>
    </xf>
    <xf numFmtId="0" fontId="1" fillId="2" borderId="93" xfId="0" applyFont="1" applyFill="1" applyBorder="1" applyAlignment="1" applyProtection="1">
      <alignment vertical="center"/>
      <protection locked="0"/>
    </xf>
    <xf numFmtId="0" fontId="1" fillId="2" borderId="98" xfId="0" applyFont="1" applyFill="1" applyBorder="1" applyAlignment="1" applyProtection="1">
      <alignment vertical="center"/>
      <protection locked="0"/>
    </xf>
    <xf numFmtId="0" fontId="1" fillId="2" borderId="65" xfId="0" applyFont="1" applyFill="1" applyBorder="1" applyAlignment="1" applyProtection="1">
      <alignment horizontal="center" vertical="center"/>
      <protection locked="0"/>
    </xf>
    <xf numFmtId="14" fontId="1" fillId="2" borderId="95" xfId="0" applyNumberFormat="1" applyFont="1" applyFill="1" applyBorder="1" applyAlignment="1" applyProtection="1">
      <alignment horizontal="center" vertical="center"/>
      <protection locked="0"/>
    </xf>
    <xf numFmtId="4" fontId="1" fillId="2" borderId="94" xfId="0" applyNumberFormat="1" applyFont="1" applyFill="1" applyBorder="1" applyAlignment="1" applyProtection="1">
      <alignment horizontal="right" vertical="center"/>
      <protection locked="0"/>
    </xf>
    <xf numFmtId="0" fontId="1" fillId="2" borderId="65" xfId="0" applyFont="1" applyFill="1" applyBorder="1" applyAlignment="1">
      <alignment horizontal="left" vertical="center"/>
    </xf>
    <xf numFmtId="4" fontId="1" fillId="2" borderId="64" xfId="0" applyNumberFormat="1" applyFont="1" applyFill="1" applyBorder="1" applyAlignment="1" applyProtection="1">
      <alignment horizontal="right" vertical="center"/>
      <protection locked="0"/>
    </xf>
    <xf numFmtId="0" fontId="1" fillId="2" borderId="16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left" vertical="center"/>
    </xf>
    <xf numFmtId="4" fontId="1" fillId="2" borderId="15" xfId="0" applyNumberFormat="1" applyFont="1" applyFill="1" applyBorder="1" applyAlignment="1" applyProtection="1">
      <alignment vertical="center"/>
      <protection locked="0"/>
    </xf>
    <xf numFmtId="0" fontId="1" fillId="2" borderId="57" xfId="0" applyFont="1" applyFill="1" applyBorder="1" applyProtection="1">
      <protection locked="0"/>
    </xf>
    <xf numFmtId="0" fontId="1" fillId="2" borderId="58" xfId="0" applyFont="1" applyFill="1" applyBorder="1" applyProtection="1">
      <protection locked="0"/>
    </xf>
    <xf numFmtId="0" fontId="1" fillId="2" borderId="59" xfId="0" applyFont="1" applyFill="1" applyBorder="1" applyProtection="1">
      <protection locked="0"/>
    </xf>
    <xf numFmtId="0" fontId="1" fillId="2" borderId="60" xfId="0" applyFont="1" applyFill="1" applyBorder="1" applyProtection="1">
      <protection locked="0"/>
    </xf>
    <xf numFmtId="0" fontId="1" fillId="2" borderId="61" xfId="0" applyFont="1" applyFill="1" applyBorder="1" applyProtection="1">
      <protection locked="0"/>
    </xf>
    <xf numFmtId="0" fontId="1" fillId="2" borderId="62" xfId="0" applyFont="1" applyFill="1" applyBorder="1" applyProtection="1">
      <protection locked="0"/>
    </xf>
    <xf numFmtId="0" fontId="1" fillId="2" borderId="63" xfId="0" applyFont="1" applyFill="1" applyBorder="1" applyProtection="1">
      <protection locked="0"/>
    </xf>
    <xf numFmtId="0" fontId="1" fillId="2" borderId="64" xfId="0" applyFont="1" applyFill="1" applyBorder="1" applyProtection="1">
      <protection locked="0"/>
    </xf>
    <xf numFmtId="0" fontId="1" fillId="2" borderId="65" xfId="0" applyFont="1" applyFill="1" applyBorder="1" applyProtection="1">
      <protection locked="0"/>
    </xf>
    <xf numFmtId="0" fontId="1" fillId="2" borderId="0" xfId="0" applyFont="1" applyFill="1" applyProtection="1">
      <protection locked="0"/>
    </xf>
    <xf numFmtId="165" fontId="1" fillId="2" borderId="103" xfId="0" applyNumberFormat="1" applyFont="1" applyFill="1" applyBorder="1" applyAlignment="1" applyProtection="1">
      <alignment horizontal="right" vertical="center"/>
      <protection locked="0"/>
    </xf>
    <xf numFmtId="165" fontId="1" fillId="2" borderId="80" xfId="0" applyNumberFormat="1" applyFont="1" applyFill="1" applyBorder="1" applyAlignment="1" applyProtection="1">
      <alignment horizontal="right" vertical="center"/>
      <protection locked="0"/>
    </xf>
    <xf numFmtId="165" fontId="1" fillId="2" borderId="83" xfId="0" applyNumberFormat="1" applyFont="1" applyFill="1" applyBorder="1" applyAlignment="1" applyProtection="1">
      <alignment horizontal="right" vertical="center"/>
      <protection locked="0"/>
    </xf>
    <xf numFmtId="4" fontId="1" fillId="2" borderId="95" xfId="0" applyNumberFormat="1" applyFont="1" applyFill="1" applyBorder="1" applyAlignment="1">
      <alignment vertical="center"/>
    </xf>
    <xf numFmtId="4" fontId="1" fillId="2" borderId="73" xfId="0" applyNumberFormat="1" applyFont="1" applyFill="1" applyBorder="1" applyAlignment="1">
      <alignment vertical="center"/>
    </xf>
    <xf numFmtId="4" fontId="1" fillId="2" borderId="59" xfId="0" applyNumberFormat="1" applyFont="1" applyFill="1" applyBorder="1" applyAlignment="1">
      <alignment horizontal="left" vertical="center"/>
    </xf>
    <xf numFmtId="4" fontId="1" fillId="2" borderId="65" xfId="0" applyNumberFormat="1" applyFont="1" applyFill="1" applyBorder="1" applyAlignment="1">
      <alignment horizontal="left" vertical="center"/>
    </xf>
    <xf numFmtId="0" fontId="1" fillId="2" borderId="93" xfId="0" applyFont="1" applyFill="1" applyBorder="1" applyAlignment="1">
      <alignment horizontal="center" vertical="center"/>
    </xf>
    <xf numFmtId="10" fontId="1" fillId="2" borderId="98" xfId="0" applyNumberFormat="1" applyFont="1" applyFill="1" applyBorder="1" applyAlignment="1">
      <alignment horizontal="right" vertical="center"/>
    </xf>
    <xf numFmtId="10" fontId="1" fillId="2" borderId="62" xfId="0" applyNumberFormat="1" applyFont="1" applyFill="1" applyBorder="1" applyAlignment="1">
      <alignment horizontal="right" vertical="center"/>
    </xf>
    <xf numFmtId="0" fontId="1" fillId="2" borderId="63" xfId="0" applyFont="1" applyFill="1" applyBorder="1" applyAlignment="1">
      <alignment horizontal="center" vertical="center"/>
    </xf>
    <xf numFmtId="10" fontId="1" fillId="2" borderId="65" xfId="0" applyNumberFormat="1" applyFont="1" applyFill="1" applyBorder="1" applyAlignment="1">
      <alignment horizontal="right" vertical="center"/>
    </xf>
    <xf numFmtId="0" fontId="1" fillId="2" borderId="57" xfId="0" applyFont="1" applyFill="1" applyBorder="1" applyAlignment="1">
      <alignment horizontal="center" vertical="center"/>
    </xf>
    <xf numFmtId="4" fontId="1" fillId="2" borderId="71" xfId="0" applyNumberFormat="1" applyFont="1" applyFill="1" applyBorder="1" applyAlignment="1">
      <alignment vertical="center"/>
    </xf>
    <xf numFmtId="0" fontId="1" fillId="3" borderId="41" xfId="0" applyFont="1" applyFill="1" applyBorder="1" applyAlignment="1">
      <alignment vertical="center"/>
    </xf>
    <xf numFmtId="0" fontId="1" fillId="2" borderId="41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left"/>
    </xf>
    <xf numFmtId="0" fontId="18" fillId="0" borderId="7" xfId="0" applyFont="1" applyBorder="1" applyAlignment="1">
      <alignment horizontal="left"/>
    </xf>
    <xf numFmtId="0" fontId="18" fillId="0" borderId="7" xfId="0" applyFont="1" applyBorder="1" applyAlignment="1" applyProtection="1">
      <alignment horizontal="left"/>
      <protection locked="0"/>
    </xf>
    <xf numFmtId="0" fontId="18" fillId="0" borderId="8" xfId="0" applyFont="1" applyBorder="1" applyAlignment="1" applyProtection="1">
      <alignment horizontal="left"/>
      <protection locked="0"/>
    </xf>
    <xf numFmtId="0" fontId="10" fillId="0" borderId="9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8" fillId="0" borderId="9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 applyProtection="1">
      <alignment horizontal="left"/>
      <protection locked="0"/>
    </xf>
    <xf numFmtId="0" fontId="71" fillId="2" borderId="0" xfId="0" applyFont="1" applyFill="1"/>
    <xf numFmtId="0" fontId="1" fillId="2" borderId="3" xfId="0" applyFont="1" applyFill="1" applyBorder="1"/>
    <xf numFmtId="0" fontId="13" fillId="2" borderId="0" xfId="0" applyFont="1" applyFill="1" applyAlignment="1">
      <alignment horizontal="center" wrapText="1"/>
    </xf>
    <xf numFmtId="0" fontId="63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19" fillId="0" borderId="0" xfId="0" applyFont="1" applyAlignment="1" applyProtection="1">
      <alignment horizontal="left"/>
      <protection locked="0"/>
    </xf>
    <xf numFmtId="0" fontId="19" fillId="0" borderId="10" xfId="0" applyFont="1" applyBorder="1" applyAlignment="1" applyProtection="1">
      <alignment horizontal="left"/>
      <protection locked="0"/>
    </xf>
    <xf numFmtId="0" fontId="18" fillId="0" borderId="0" xfId="0" applyFont="1" applyAlignment="1">
      <alignment horizontal="left" vertical="center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10" xfId="0" applyFont="1" applyBorder="1" applyAlignment="1" applyProtection="1">
      <alignment horizontal="left" vertical="center"/>
      <protection locked="0"/>
    </xf>
    <xf numFmtId="0" fontId="14" fillId="2" borderId="220" xfId="0" applyFont="1" applyFill="1" applyBorder="1" applyAlignment="1">
      <alignment horizontal="left"/>
    </xf>
    <xf numFmtId="0" fontId="18" fillId="0" borderId="9" xfId="0" applyFont="1" applyBorder="1" applyAlignment="1">
      <alignment horizontal="left" vertical="center"/>
    </xf>
    <xf numFmtId="164" fontId="14" fillId="2" borderId="0" xfId="0" applyNumberFormat="1" applyFont="1" applyFill="1" applyAlignment="1" applyProtection="1">
      <alignment horizontal="center"/>
      <protection locked="0"/>
    </xf>
    <xf numFmtId="0" fontId="18" fillId="0" borderId="11" xfId="0" applyFont="1" applyBorder="1" applyAlignment="1">
      <alignment horizontal="left"/>
    </xf>
    <xf numFmtId="0" fontId="18" fillId="0" borderId="12" xfId="0" applyFont="1" applyBorder="1" applyAlignment="1">
      <alignment horizontal="left"/>
    </xf>
    <xf numFmtId="0" fontId="18" fillId="0" borderId="12" xfId="0" applyFont="1" applyBorder="1" applyAlignment="1" applyProtection="1">
      <alignment horizontal="left"/>
      <protection locked="0"/>
    </xf>
    <xf numFmtId="0" fontId="18" fillId="0" borderId="13" xfId="0" applyFont="1" applyBorder="1" applyAlignment="1" applyProtection="1">
      <alignment horizontal="left"/>
      <protection locked="0"/>
    </xf>
    <xf numFmtId="0" fontId="40" fillId="2" borderId="196" xfId="0" applyFont="1" applyFill="1" applyBorder="1"/>
    <xf numFmtId="0" fontId="40" fillId="2" borderId="197" xfId="0" applyFont="1" applyFill="1" applyBorder="1"/>
    <xf numFmtId="0" fontId="40" fillId="2" borderId="198" xfId="0" applyFont="1" applyFill="1" applyBorder="1"/>
    <xf numFmtId="0" fontId="40" fillId="2" borderId="217" xfId="0" applyFont="1" applyFill="1" applyBorder="1"/>
    <xf numFmtId="0" fontId="40" fillId="2" borderId="218" xfId="0" applyFont="1" applyFill="1" applyBorder="1"/>
    <xf numFmtId="0" fontId="26" fillId="2" borderId="1" xfId="0" applyFont="1" applyFill="1" applyBorder="1" applyAlignment="1">
      <alignment horizontal="center"/>
    </xf>
    <xf numFmtId="0" fontId="26" fillId="2" borderId="219" xfId="0" applyFont="1" applyFill="1" applyBorder="1" applyAlignment="1">
      <alignment horizontal="center"/>
    </xf>
    <xf numFmtId="0" fontId="26" fillId="2" borderId="167" xfId="0" applyFont="1" applyFill="1" applyBorder="1" applyAlignment="1">
      <alignment horizontal="center"/>
    </xf>
    <xf numFmtId="0" fontId="26" fillId="2" borderId="168" xfId="0" applyFont="1" applyFill="1" applyBorder="1" applyAlignment="1">
      <alignment horizontal="center"/>
    </xf>
    <xf numFmtId="0" fontId="26" fillId="2" borderId="14" xfId="0" applyFont="1" applyFill="1" applyBorder="1"/>
    <xf numFmtId="0" fontId="40" fillId="2" borderId="199" xfId="0" applyFont="1" applyFill="1" applyBorder="1"/>
    <xf numFmtId="0" fontId="40" fillId="2" borderId="1" xfId="0" applyFont="1" applyFill="1" applyBorder="1"/>
    <xf numFmtId="0" fontId="40" fillId="2" borderId="200" xfId="0" applyFont="1" applyFill="1" applyBorder="1"/>
    <xf numFmtId="0" fontId="24" fillId="2" borderId="196" xfId="0" applyFont="1" applyFill="1" applyBorder="1" applyAlignment="1">
      <alignment horizontal="center"/>
    </xf>
    <xf numFmtId="0" fontId="24" fillId="2" borderId="197" xfId="0" applyFont="1" applyFill="1" applyBorder="1" applyAlignment="1">
      <alignment horizontal="center"/>
    </xf>
    <xf numFmtId="0" fontId="40" fillId="2" borderId="198" xfId="0" applyFont="1" applyFill="1" applyBorder="1" applyAlignment="1">
      <alignment horizontal="center"/>
    </xf>
    <xf numFmtId="0" fontId="24" fillId="2" borderId="217" xfId="0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0" fontId="40" fillId="2" borderId="218" xfId="0" applyFont="1" applyFill="1" applyBorder="1" applyAlignment="1">
      <alignment horizontal="center"/>
    </xf>
    <xf numFmtId="0" fontId="24" fillId="2" borderId="199" xfId="0" applyFont="1" applyFill="1" applyBorder="1" applyAlignment="1">
      <alignment horizontal="center"/>
    </xf>
    <xf numFmtId="0" fontId="40" fillId="2" borderId="200" xfId="0" applyFont="1" applyFill="1" applyBorder="1" applyAlignment="1">
      <alignment horizontal="center"/>
    </xf>
    <xf numFmtId="0" fontId="40" fillId="2" borderId="221" xfId="0" applyFont="1" applyFill="1" applyBorder="1" applyAlignment="1">
      <alignment horizontal="center"/>
    </xf>
    <xf numFmtId="0" fontId="40" fillId="2" borderId="222" xfId="0" applyFont="1" applyFill="1" applyBorder="1" applyAlignment="1">
      <alignment horizontal="center"/>
    </xf>
    <xf numFmtId="0" fontId="24" fillId="2" borderId="0" xfId="0" applyFont="1" applyFill="1"/>
    <xf numFmtId="0" fontId="1" fillId="2" borderId="58" xfId="0" applyFont="1" applyFill="1" applyBorder="1" applyAlignment="1">
      <alignment vertical="center"/>
    </xf>
    <xf numFmtId="4" fontId="1" fillId="2" borderId="128" xfId="0" applyNumberFormat="1" applyFont="1" applyFill="1" applyBorder="1" applyAlignment="1" applyProtection="1">
      <alignment vertical="center"/>
      <protection locked="0"/>
    </xf>
    <xf numFmtId="0" fontId="1" fillId="2" borderId="64" xfId="0" applyFont="1" applyFill="1" applyBorder="1" applyAlignment="1">
      <alignment vertical="center"/>
    </xf>
    <xf numFmtId="0" fontId="7" fillId="2" borderId="13" xfId="0" applyFont="1" applyFill="1" applyBorder="1" applyAlignment="1">
      <alignment horizontal="left"/>
    </xf>
    <xf numFmtId="4" fontId="72" fillId="2" borderId="0" xfId="0" applyNumberFormat="1" applyFont="1" applyFill="1" applyAlignment="1">
      <alignment horizontal="right"/>
    </xf>
    <xf numFmtId="0" fontId="0" fillId="2" borderId="0" xfId="0" applyFill="1"/>
    <xf numFmtId="0" fontId="7" fillId="2" borderId="65" xfId="0" applyFont="1" applyFill="1" applyBorder="1" applyAlignment="1">
      <alignment vertical="center"/>
    </xf>
    <xf numFmtId="4" fontId="1" fillId="2" borderId="57" xfId="0" applyNumberFormat="1" applyFont="1" applyFill="1" applyBorder="1" applyAlignment="1" applyProtection="1">
      <alignment vertical="center"/>
      <protection locked="0"/>
    </xf>
    <xf numFmtId="0" fontId="13" fillId="3" borderId="52" xfId="0" applyFont="1" applyFill="1" applyBorder="1" applyAlignment="1">
      <alignment horizontal="center" vertical="center" wrapText="1"/>
    </xf>
    <xf numFmtId="0" fontId="13" fillId="3" borderId="74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81" xfId="0" applyFont="1" applyFill="1" applyBorder="1" applyAlignment="1">
      <alignment horizontal="center" vertical="center" wrapText="1"/>
    </xf>
    <xf numFmtId="0" fontId="13" fillId="3" borderId="65" xfId="0" applyFont="1" applyFill="1" applyBorder="1" applyAlignment="1">
      <alignment horizontal="center" vertical="center" wrapText="1"/>
    </xf>
    <xf numFmtId="0" fontId="1" fillId="2" borderId="93" xfId="0" applyFont="1" applyFill="1" applyBorder="1" applyAlignment="1" applyProtection="1">
      <alignment horizontal="left" vertical="center"/>
      <protection locked="0"/>
    </xf>
    <xf numFmtId="4" fontId="1" fillId="3" borderId="71" xfId="0" applyNumberFormat="1" applyFont="1" applyFill="1" applyBorder="1" applyAlignment="1">
      <alignment horizontal="right" vertical="center"/>
    </xf>
    <xf numFmtId="4" fontId="1" fillId="3" borderId="95" xfId="0" applyNumberFormat="1" applyFont="1" applyFill="1" applyBorder="1" applyAlignment="1">
      <alignment horizontal="right" vertical="center"/>
    </xf>
    <xf numFmtId="4" fontId="2" fillId="2" borderId="95" xfId="0" applyNumberFormat="1" applyFont="1" applyFill="1" applyBorder="1" applyAlignment="1" applyProtection="1">
      <alignment horizontal="right" vertical="center"/>
      <protection locked="0"/>
    </xf>
    <xf numFmtId="4" fontId="7" fillId="3" borderId="84" xfId="0" applyNumberFormat="1" applyFont="1" applyFill="1" applyBorder="1" applyAlignment="1">
      <alignment vertical="center"/>
    </xf>
    <xf numFmtId="4" fontId="18" fillId="0" borderId="0" xfId="0" applyNumberFormat="1" applyFont="1" applyProtection="1">
      <protection locked="0"/>
    </xf>
    <xf numFmtId="4" fontId="18" fillId="0" borderId="9" xfId="0" applyNumberFormat="1" applyFont="1" applyBorder="1" applyProtection="1">
      <protection locked="0"/>
    </xf>
    <xf numFmtId="4" fontId="34" fillId="6" borderId="223" xfId="0" applyNumberFormat="1" applyFont="1" applyFill="1" applyBorder="1" applyProtection="1">
      <protection locked="0"/>
    </xf>
    <xf numFmtId="1" fontId="9" fillId="3" borderId="0" xfId="0" applyNumberFormat="1" applyFont="1" applyFill="1" applyAlignment="1">
      <alignment horizontal="center" vertical="center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0" fontId="10" fillId="2" borderId="17" xfId="0" applyFont="1" applyFill="1" applyBorder="1" applyAlignment="1" applyProtection="1">
      <alignment horizontal="center" vertical="center"/>
      <protection locked="0"/>
    </xf>
    <xf numFmtId="0" fontId="10" fillId="2" borderId="18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left"/>
    </xf>
    <xf numFmtId="0" fontId="10" fillId="2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 vertical="center"/>
    </xf>
    <xf numFmtId="0" fontId="1" fillId="2" borderId="89" xfId="0" applyFont="1" applyFill="1" applyBorder="1" applyAlignment="1">
      <alignment horizontal="center" vertical="center"/>
    </xf>
    <xf numFmtId="0" fontId="1" fillId="2" borderId="95" xfId="0" applyFont="1" applyFill="1" applyBorder="1" applyAlignment="1">
      <alignment horizontal="center" vertical="center"/>
    </xf>
    <xf numFmtId="0" fontId="14" fillId="2" borderId="5" xfId="0" applyFont="1" applyFill="1" applyBorder="1" applyAlignment="1" applyProtection="1">
      <alignment horizontal="left"/>
      <protection locked="0"/>
    </xf>
    <xf numFmtId="0" fontId="14" fillId="2" borderId="2" xfId="0" applyFont="1" applyFill="1" applyBorder="1" applyAlignment="1">
      <alignment horizontal="left"/>
    </xf>
    <xf numFmtId="0" fontId="14" fillId="2" borderId="2" xfId="0" applyFont="1" applyFill="1" applyBorder="1" applyAlignment="1" applyProtection="1">
      <alignment horizontal="left"/>
      <protection locked="0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 applyProtection="1">
      <alignment horizontal="left"/>
      <protection locked="0"/>
    </xf>
    <xf numFmtId="0" fontId="18" fillId="2" borderId="12" xfId="0" applyFont="1" applyFill="1" applyBorder="1" applyAlignment="1">
      <alignment horizontal="left"/>
    </xf>
    <xf numFmtId="0" fontId="7" fillId="4" borderId="0" xfId="0" applyFont="1" applyFill="1" applyAlignment="1">
      <alignment horizontal="left" vertical="center" wrapText="1"/>
    </xf>
    <xf numFmtId="0" fontId="18" fillId="2" borderId="1" xfId="0" applyFont="1" applyFill="1" applyBorder="1" applyAlignment="1">
      <alignment horizontal="left" wrapText="1"/>
    </xf>
    <xf numFmtId="0" fontId="18" fillId="2" borderId="4" xfId="0" applyFont="1" applyFill="1" applyBorder="1" applyAlignment="1" applyProtection="1">
      <alignment horizontal="left"/>
      <protection locked="0"/>
    </xf>
    <xf numFmtId="0" fontId="18" fillId="2" borderId="1" xfId="0" applyFont="1" applyFill="1" applyBorder="1" applyAlignment="1">
      <alignment horizontal="right"/>
    </xf>
    <xf numFmtId="0" fontId="15" fillId="6" borderId="1" xfId="0" applyFont="1" applyFill="1" applyBorder="1" applyAlignment="1">
      <alignment horizontal="right"/>
    </xf>
    <xf numFmtId="4" fontId="1" fillId="2" borderId="63" xfId="0" applyNumberFormat="1" applyFont="1" applyFill="1" applyBorder="1" applyAlignment="1" applyProtection="1">
      <alignment horizontal="left" vertical="center"/>
      <protection locked="0"/>
    </xf>
    <xf numFmtId="4" fontId="1" fillId="2" borderId="65" xfId="0" applyNumberFormat="1" applyFont="1" applyFill="1" applyBorder="1" applyAlignment="1" applyProtection="1">
      <alignment horizontal="left" vertical="center"/>
      <protection locked="0"/>
    </xf>
    <xf numFmtId="4" fontId="19" fillId="3" borderId="70" xfId="0" applyNumberFormat="1" applyFont="1" applyFill="1" applyBorder="1" applyAlignment="1">
      <alignment horizontal="center" vertical="center"/>
    </xf>
    <xf numFmtId="4" fontId="19" fillId="3" borderId="74" xfId="0" applyNumberFormat="1" applyFont="1" applyFill="1" applyBorder="1" applyAlignment="1">
      <alignment horizontal="center" vertical="center"/>
    </xf>
    <xf numFmtId="4" fontId="7" fillId="2" borderId="16" xfId="0" applyNumberFormat="1" applyFont="1" applyFill="1" applyBorder="1" applyAlignment="1">
      <alignment horizontal="left" vertical="center"/>
    </xf>
    <xf numFmtId="4" fontId="7" fillId="2" borderId="18" xfId="0" applyNumberFormat="1" applyFont="1" applyFill="1" applyBorder="1" applyAlignment="1">
      <alignment horizontal="left" vertical="center"/>
    </xf>
    <xf numFmtId="4" fontId="1" fillId="2" borderId="57" xfId="0" applyNumberFormat="1" applyFont="1" applyFill="1" applyBorder="1" applyAlignment="1" applyProtection="1">
      <alignment horizontal="left" vertical="center"/>
      <protection locked="0"/>
    </xf>
    <xf numFmtId="4" fontId="1" fillId="2" borderId="59" xfId="0" applyNumberFormat="1" applyFont="1" applyFill="1" applyBorder="1" applyAlignment="1" applyProtection="1">
      <alignment horizontal="left" vertical="center"/>
      <protection locked="0"/>
    </xf>
    <xf numFmtId="4" fontId="1" fillId="2" borderId="60" xfId="0" applyNumberFormat="1" applyFont="1" applyFill="1" applyBorder="1" applyAlignment="1" applyProtection="1">
      <alignment horizontal="left" vertical="center"/>
      <protection locked="0"/>
    </xf>
    <xf numFmtId="4" fontId="1" fillId="2" borderId="62" xfId="0" applyNumberFormat="1" applyFont="1" applyFill="1" applyBorder="1" applyAlignment="1" applyProtection="1">
      <alignment horizontal="left" vertical="center"/>
      <protection locked="0"/>
    </xf>
    <xf numFmtId="4" fontId="19" fillId="3" borderId="51" xfId="0" applyNumberFormat="1" applyFont="1" applyFill="1" applyBorder="1" applyAlignment="1">
      <alignment horizontal="center" vertical="center"/>
    </xf>
    <xf numFmtId="4" fontId="19" fillId="3" borderId="53" xfId="0" applyNumberFormat="1" applyFont="1" applyFill="1" applyBorder="1" applyAlignment="1">
      <alignment horizontal="center" vertical="center"/>
    </xf>
    <xf numFmtId="4" fontId="19" fillId="3" borderId="56" xfId="0" applyNumberFormat="1" applyFont="1" applyFill="1" applyBorder="1" applyAlignment="1">
      <alignment horizontal="center" vertical="center"/>
    </xf>
    <xf numFmtId="4" fontId="19" fillId="3" borderId="19" xfId="0" applyNumberFormat="1" applyFont="1" applyFill="1" applyBorder="1" applyAlignment="1">
      <alignment horizontal="center" vertical="center"/>
    </xf>
    <xf numFmtId="4" fontId="1" fillId="2" borderId="57" xfId="0" applyNumberFormat="1" applyFont="1" applyFill="1" applyBorder="1" applyAlignment="1" applyProtection="1">
      <alignment horizontal="center" vertical="center"/>
      <protection locked="0"/>
    </xf>
    <xf numFmtId="4" fontId="1" fillId="2" borderId="59" xfId="0" applyNumberFormat="1" applyFont="1" applyFill="1" applyBorder="1" applyAlignment="1" applyProtection="1">
      <alignment horizontal="center" vertical="center"/>
      <protection locked="0"/>
    </xf>
    <xf numFmtId="4" fontId="1" fillId="2" borderId="63" xfId="0" applyNumberFormat="1" applyFont="1" applyFill="1" applyBorder="1" applyAlignment="1" applyProtection="1">
      <alignment horizontal="center" vertical="center"/>
      <protection locked="0"/>
    </xf>
    <xf numFmtId="4" fontId="1" fillId="2" borderId="65" xfId="0" applyNumberFormat="1" applyFont="1" applyFill="1" applyBorder="1" applyAlignment="1" applyProtection="1">
      <alignment horizontal="center" vertical="center"/>
      <protection locked="0"/>
    </xf>
    <xf numFmtId="4" fontId="1" fillId="2" borderId="60" xfId="0" applyNumberFormat="1" applyFont="1" applyFill="1" applyBorder="1" applyAlignment="1" applyProtection="1">
      <alignment horizontal="center" vertical="center"/>
      <protection locked="0"/>
    </xf>
    <xf numFmtId="4" fontId="1" fillId="2" borderId="62" xfId="0" applyNumberFormat="1" applyFont="1" applyFill="1" applyBorder="1" applyAlignment="1" applyProtection="1">
      <alignment horizontal="center" vertical="center"/>
      <protection locked="0"/>
    </xf>
    <xf numFmtId="4" fontId="7" fillId="2" borderId="67" xfId="0" applyNumberFormat="1" applyFont="1" applyFill="1" applyBorder="1" applyAlignment="1">
      <alignment horizontal="left" vertical="center"/>
    </xf>
    <xf numFmtId="4" fontId="7" fillId="2" borderId="69" xfId="0" applyNumberFormat="1" applyFont="1" applyFill="1" applyBorder="1" applyAlignment="1">
      <alignment horizontal="left" vertical="center"/>
    </xf>
    <xf numFmtId="4" fontId="1" fillId="2" borderId="126" xfId="0" applyNumberFormat="1" applyFont="1" applyFill="1" applyBorder="1" applyAlignment="1">
      <alignment horizontal="left" vertical="center"/>
    </xf>
    <xf numFmtId="4" fontId="1" fillId="2" borderId="127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0" fillId="3" borderId="51" xfId="0" applyFont="1" applyFill="1" applyBorder="1" applyAlignment="1">
      <alignment horizontal="left" vertical="center" wrapText="1"/>
    </xf>
    <xf numFmtId="0" fontId="10" fillId="3" borderId="53" xfId="0" applyFont="1" applyFill="1" applyBorder="1" applyAlignment="1">
      <alignment horizontal="left" vertical="center" wrapText="1"/>
    </xf>
    <xf numFmtId="0" fontId="10" fillId="3" borderId="56" xfId="0" applyFont="1" applyFill="1" applyBorder="1" applyAlignment="1">
      <alignment horizontal="left" vertical="center" wrapText="1"/>
    </xf>
    <xf numFmtId="0" fontId="10" fillId="3" borderId="19" xfId="0" applyFont="1" applyFill="1" applyBorder="1" applyAlignment="1">
      <alignment horizontal="left" vertical="center" wrapText="1"/>
    </xf>
    <xf numFmtId="0" fontId="7" fillId="2" borderId="67" xfId="0" applyFont="1" applyFill="1" applyBorder="1" applyAlignment="1">
      <alignment horizontal="left" vertical="center" wrapText="1"/>
    </xf>
    <xf numFmtId="0" fontId="7" fillId="2" borderId="69" xfId="0" applyFont="1" applyFill="1" applyBorder="1" applyAlignment="1">
      <alignment horizontal="left" vertical="center" wrapText="1"/>
    </xf>
    <xf numFmtId="0" fontId="10" fillId="3" borderId="51" xfId="0" applyFont="1" applyFill="1" applyBorder="1" applyAlignment="1">
      <alignment horizontal="center" vertical="center" wrapText="1"/>
    </xf>
    <xf numFmtId="0" fontId="10" fillId="3" borderId="53" xfId="0" applyFont="1" applyFill="1" applyBorder="1" applyAlignment="1">
      <alignment horizontal="center" vertical="center" wrapText="1"/>
    </xf>
    <xf numFmtId="0" fontId="10" fillId="3" borderId="56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3" fillId="3" borderId="16" xfId="0" applyNumberFormat="1" applyFont="1" applyFill="1" applyBorder="1" applyAlignment="1">
      <alignment horizontal="center" vertical="center"/>
    </xf>
    <xf numFmtId="1" fontId="13" fillId="3" borderId="17" xfId="0" applyNumberFormat="1" applyFont="1" applyFill="1" applyBorder="1" applyAlignment="1">
      <alignment horizontal="center" vertical="center"/>
    </xf>
    <xf numFmtId="1" fontId="13" fillId="3" borderId="18" xfId="0" applyNumberFormat="1" applyFont="1" applyFill="1" applyBorder="1" applyAlignment="1">
      <alignment horizontal="center" vertical="center"/>
    </xf>
    <xf numFmtId="4" fontId="13" fillId="3" borderId="30" xfId="0" applyNumberFormat="1" applyFont="1" applyFill="1" applyBorder="1" applyAlignment="1">
      <alignment horizontal="center" vertical="center"/>
    </xf>
    <xf numFmtId="4" fontId="13" fillId="3" borderId="31" xfId="0" applyNumberFormat="1" applyFont="1" applyFill="1" applyBorder="1" applyAlignment="1">
      <alignment horizontal="center" vertical="center"/>
    </xf>
    <xf numFmtId="4" fontId="13" fillId="3" borderId="32" xfId="0" applyNumberFormat="1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1" fillId="3" borderId="51" xfId="0" applyFont="1" applyFill="1" applyBorder="1" applyAlignment="1">
      <alignment horizontal="center" vertical="center"/>
    </xf>
    <xf numFmtId="0" fontId="1" fillId="3" borderId="53" xfId="0" applyFont="1" applyFill="1" applyBorder="1" applyAlignment="1">
      <alignment horizontal="center" vertical="center"/>
    </xf>
    <xf numFmtId="0" fontId="25" fillId="3" borderId="70" xfId="132" applyFont="1" applyFill="1" applyBorder="1" applyAlignment="1">
      <alignment horizontal="center" wrapText="1"/>
    </xf>
    <xf numFmtId="0" fontId="25" fillId="3" borderId="74" xfId="132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1" fillId="2" borderId="60" xfId="0" applyFont="1" applyFill="1" applyBorder="1" applyAlignment="1" applyProtection="1">
      <alignment horizontal="left" vertical="center"/>
      <protection locked="0"/>
    </xf>
    <xf numFmtId="0" fontId="1" fillId="2" borderId="62" xfId="0" applyFont="1" applyFill="1" applyBorder="1" applyAlignment="1" applyProtection="1">
      <alignment horizontal="left" vertical="center"/>
      <protection locked="0"/>
    </xf>
    <xf numFmtId="0" fontId="1" fillId="2" borderId="63" xfId="0" applyFont="1" applyFill="1" applyBorder="1" applyAlignment="1" applyProtection="1">
      <alignment horizontal="left" vertical="center"/>
      <protection locked="0"/>
    </xf>
    <xf numFmtId="0" fontId="1" fillId="2" borderId="65" xfId="0" applyFont="1" applyFill="1" applyBorder="1" applyAlignment="1" applyProtection="1">
      <alignment horizontal="left" vertical="center"/>
      <protection locked="0"/>
    </xf>
    <xf numFmtId="0" fontId="1" fillId="2" borderId="126" xfId="0" applyFont="1" applyFill="1" applyBorder="1" applyAlignment="1" applyProtection="1">
      <alignment horizontal="left" vertical="center"/>
      <protection locked="0"/>
    </xf>
    <xf numFmtId="0" fontId="1" fillId="2" borderId="127" xfId="0" applyFont="1" applyFill="1" applyBorder="1" applyAlignment="1" applyProtection="1">
      <alignment horizontal="left" vertical="center"/>
      <protection locked="0"/>
    </xf>
    <xf numFmtId="0" fontId="7" fillId="2" borderId="6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3" borderId="51" xfId="0" applyFont="1" applyFill="1" applyBorder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0" fontId="7" fillId="3" borderId="54" xfId="0" applyFont="1" applyFill="1" applyBorder="1" applyAlignment="1">
      <alignment horizontal="center" vertical="center"/>
    </xf>
    <xf numFmtId="0" fontId="7" fillId="3" borderId="55" xfId="0" applyFont="1" applyFill="1" applyBorder="1" applyAlignment="1">
      <alignment horizontal="center" vertical="center"/>
    </xf>
    <xf numFmtId="0" fontId="26" fillId="3" borderId="157" xfId="132" applyFont="1" applyFill="1" applyBorder="1" applyAlignment="1">
      <alignment horizontal="center" vertical="center" wrapText="1"/>
    </xf>
    <xf numFmtId="0" fontId="26" fillId="3" borderId="17" xfId="132" applyFont="1" applyFill="1" applyBorder="1" applyAlignment="1">
      <alignment horizontal="center" vertical="center" wrapText="1"/>
    </xf>
    <xf numFmtId="0" fontId="26" fillId="3" borderId="143" xfId="132" applyFont="1" applyFill="1" applyBorder="1" applyAlignment="1">
      <alignment horizontal="center" vertical="center" wrapText="1"/>
    </xf>
    <xf numFmtId="0" fontId="26" fillId="3" borderId="171" xfId="132" applyFont="1" applyFill="1" applyBorder="1" applyAlignment="1">
      <alignment horizontal="center" vertical="center" wrapText="1"/>
    </xf>
    <xf numFmtId="0" fontId="26" fillId="3" borderId="53" xfId="132" applyFont="1" applyFill="1" applyBorder="1" applyAlignment="1">
      <alignment horizontal="center" vertical="center" wrapText="1"/>
    </xf>
    <xf numFmtId="0" fontId="26" fillId="3" borderId="172" xfId="132" applyFont="1" applyFill="1" applyBorder="1" applyAlignment="1">
      <alignment horizontal="center" vertical="center" wrapText="1"/>
    </xf>
    <xf numFmtId="0" fontId="26" fillId="3" borderId="19" xfId="132" applyFont="1" applyFill="1" applyBorder="1" applyAlignment="1">
      <alignment horizontal="center" vertical="center" wrapText="1"/>
    </xf>
    <xf numFmtId="0" fontId="26" fillId="3" borderId="16" xfId="132" applyFont="1" applyFill="1" applyBorder="1" applyAlignment="1">
      <alignment horizontal="center" vertical="center" wrapText="1"/>
    </xf>
    <xf numFmtId="0" fontId="7" fillId="3" borderId="56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56" xfId="0" applyFont="1" applyFill="1" applyBorder="1" applyAlignment="1">
      <alignment horizontal="center" vertical="center"/>
    </xf>
    <xf numFmtId="0" fontId="7" fillId="2" borderId="67" xfId="0" applyFont="1" applyFill="1" applyBorder="1" applyAlignment="1">
      <alignment horizontal="left" vertical="center"/>
    </xf>
    <xf numFmtId="0" fontId="7" fillId="2" borderId="68" xfId="0" applyFont="1" applyFill="1" applyBorder="1" applyAlignment="1">
      <alignment horizontal="left" vertical="center"/>
    </xf>
    <xf numFmtId="0" fontId="7" fillId="2" borderId="69" xfId="0" applyFont="1" applyFill="1" applyBorder="1" applyAlignment="1">
      <alignment horizontal="left" vertical="center"/>
    </xf>
    <xf numFmtId="0" fontId="1" fillId="2" borderId="67" xfId="0" applyFont="1" applyFill="1" applyBorder="1" applyAlignment="1">
      <alignment horizontal="left" vertical="center"/>
    </xf>
    <xf numFmtId="0" fontId="1" fillId="2" borderId="68" xfId="0" applyFont="1" applyFill="1" applyBorder="1" applyAlignment="1">
      <alignment horizontal="left" vertical="center"/>
    </xf>
    <xf numFmtId="0" fontId="1" fillId="2" borderId="69" xfId="0" applyFont="1" applyFill="1" applyBorder="1" applyAlignment="1">
      <alignment horizontal="left" vertical="center"/>
    </xf>
    <xf numFmtId="0" fontId="26" fillId="3" borderId="18" xfId="132" applyFont="1" applyFill="1" applyBorder="1" applyAlignment="1">
      <alignment horizontal="center" vertical="center" wrapText="1"/>
    </xf>
    <xf numFmtId="0" fontId="26" fillId="3" borderId="16" xfId="132" applyFont="1" applyFill="1" applyBorder="1" applyAlignment="1">
      <alignment horizontal="left" vertical="center" wrapText="1"/>
    </xf>
    <xf numFmtId="0" fontId="26" fillId="3" borderId="18" xfId="132" applyFont="1" applyFill="1" applyBorder="1" applyAlignment="1">
      <alignment horizontal="left" vertical="center" wrapText="1"/>
    </xf>
    <xf numFmtId="0" fontId="26" fillId="3" borderId="0" xfId="132" applyFont="1" applyFill="1" applyAlignment="1">
      <alignment horizontal="center" vertical="center" wrapText="1"/>
    </xf>
    <xf numFmtId="0" fontId="19" fillId="14" borderId="0" xfId="0" applyFont="1" applyFill="1" applyAlignment="1" applyProtection="1">
      <alignment horizontal="center" vertical="center"/>
      <protection locked="0"/>
    </xf>
    <xf numFmtId="0" fontId="19" fillId="0" borderId="196" xfId="0" applyFont="1" applyBorder="1" applyAlignment="1" applyProtection="1">
      <alignment horizontal="left" vertical="center"/>
      <protection locked="0"/>
    </xf>
    <xf numFmtId="0" fontId="19" fillId="0" borderId="197" xfId="0" applyFont="1" applyBorder="1" applyAlignment="1" applyProtection="1">
      <alignment horizontal="left" vertical="center"/>
      <protection locked="0"/>
    </xf>
    <xf numFmtId="0" fontId="19" fillId="0" borderId="198" xfId="0" applyFont="1" applyBorder="1" applyAlignment="1" applyProtection="1">
      <alignment horizontal="left" vertical="center"/>
      <protection locked="0"/>
    </xf>
    <xf numFmtId="4" fontId="7" fillId="2" borderId="67" xfId="0" applyNumberFormat="1" applyFont="1" applyFill="1" applyBorder="1" applyAlignment="1">
      <alignment horizontal="right" vertical="center"/>
    </xf>
    <xf numFmtId="4" fontId="7" fillId="2" borderId="68" xfId="0" applyNumberFormat="1" applyFont="1" applyFill="1" applyBorder="1" applyAlignment="1">
      <alignment horizontal="right" vertical="center"/>
    </xf>
    <xf numFmtId="0" fontId="7" fillId="2" borderId="188" xfId="0" applyFont="1" applyFill="1" applyBorder="1" applyAlignment="1">
      <alignment horizontal="right" vertical="center"/>
    </xf>
    <xf numFmtId="0" fontId="7" fillId="2" borderId="189" xfId="0" applyFont="1" applyFill="1" applyBorder="1" applyAlignment="1">
      <alignment horizontal="right" vertical="center"/>
    </xf>
    <xf numFmtId="3" fontId="14" fillId="2" borderId="201" xfId="0" applyNumberFormat="1" applyFont="1" applyFill="1" applyBorder="1" applyAlignment="1">
      <alignment horizontal="right" vertical="center"/>
    </xf>
    <xf numFmtId="3" fontId="14" fillId="2" borderId="202" xfId="0" applyNumberFormat="1" applyFont="1" applyFill="1" applyBorder="1" applyAlignment="1">
      <alignment horizontal="right" vertical="center"/>
    </xf>
    <xf numFmtId="4" fontId="14" fillId="2" borderId="174" xfId="0" applyNumberFormat="1" applyFont="1" applyFill="1" applyBorder="1" applyAlignment="1">
      <alignment horizontal="right" vertical="center"/>
    </xf>
    <xf numFmtId="4" fontId="14" fillId="2" borderId="193" xfId="0" applyNumberFormat="1" applyFont="1" applyFill="1" applyBorder="1" applyAlignment="1">
      <alignment horizontal="right" vertical="center"/>
    </xf>
    <xf numFmtId="4" fontId="14" fillId="2" borderId="203" xfId="0" applyNumberFormat="1" applyFont="1" applyFill="1" applyBorder="1" applyAlignment="1">
      <alignment horizontal="right" vertical="center"/>
    </xf>
    <xf numFmtId="4" fontId="14" fillId="2" borderId="204" xfId="0" applyNumberFormat="1" applyFont="1" applyFill="1" applyBorder="1" applyAlignment="1">
      <alignment horizontal="right" vertical="center"/>
    </xf>
    <xf numFmtId="0" fontId="13" fillId="3" borderId="51" xfId="0" applyFont="1" applyFill="1" applyBorder="1" applyAlignment="1">
      <alignment horizontal="center" vertical="center" wrapText="1"/>
    </xf>
    <xf numFmtId="0" fontId="13" fillId="3" borderId="53" xfId="0" applyFont="1" applyFill="1" applyBorder="1" applyAlignment="1">
      <alignment horizontal="center" vertical="center" wrapText="1"/>
    </xf>
    <xf numFmtId="0" fontId="13" fillId="3" borderId="56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 applyProtection="1">
      <alignment horizontal="left" vertical="center"/>
      <protection locked="0"/>
    </xf>
    <xf numFmtId="0" fontId="1" fillId="2" borderId="59" xfId="0" applyFont="1" applyFill="1" applyBorder="1" applyAlignment="1" applyProtection="1">
      <alignment horizontal="left" vertical="center"/>
      <protection locked="0"/>
    </xf>
    <xf numFmtId="0" fontId="7" fillId="2" borderId="67" xfId="0" applyFont="1" applyFill="1" applyBorder="1" applyAlignment="1">
      <alignment horizontal="center" vertical="center"/>
    </xf>
    <xf numFmtId="0" fontId="7" fillId="2" borderId="68" xfId="0" applyFont="1" applyFill="1" applyBorder="1" applyAlignment="1">
      <alignment horizontal="center" vertical="center"/>
    </xf>
    <xf numFmtId="0" fontId="7" fillId="2" borderId="69" xfId="0" applyFont="1" applyFill="1" applyBorder="1" applyAlignment="1">
      <alignment horizontal="center" vertical="center"/>
    </xf>
    <xf numFmtId="0" fontId="7" fillId="2" borderId="60" xfId="0" applyFont="1" applyFill="1" applyBorder="1" applyAlignment="1">
      <alignment horizontal="left" vertical="center" wrapText="1"/>
    </xf>
    <xf numFmtId="0" fontId="7" fillId="2" borderId="61" xfId="0" applyFont="1" applyFill="1" applyBorder="1" applyAlignment="1">
      <alignment horizontal="left" vertical="center" wrapText="1"/>
    </xf>
    <xf numFmtId="0" fontId="7" fillId="2" borderId="62" xfId="0" applyFont="1" applyFill="1" applyBorder="1" applyAlignment="1">
      <alignment horizontal="left" vertical="center" wrapText="1"/>
    </xf>
    <xf numFmtId="0" fontId="1" fillId="2" borderId="60" xfId="0" applyFont="1" applyFill="1" applyBorder="1" applyAlignment="1">
      <alignment horizontal="left" vertical="center" wrapText="1"/>
    </xf>
    <xf numFmtId="0" fontId="1" fillId="2" borderId="61" xfId="0" applyFont="1" applyFill="1" applyBorder="1" applyAlignment="1">
      <alignment horizontal="left" vertical="center" wrapText="1"/>
    </xf>
    <xf numFmtId="0" fontId="1" fillId="2" borderId="62" xfId="0" applyFont="1" applyFill="1" applyBorder="1" applyAlignment="1">
      <alignment horizontal="left" vertical="center" wrapText="1"/>
    </xf>
    <xf numFmtId="0" fontId="1" fillId="2" borderId="60" xfId="0" applyFont="1" applyFill="1" applyBorder="1" applyAlignment="1">
      <alignment horizontal="left" vertical="center" wrapText="1" indent="1"/>
    </xf>
    <xf numFmtId="0" fontId="1" fillId="2" borderId="61" xfId="0" applyFont="1" applyFill="1" applyBorder="1" applyAlignment="1">
      <alignment horizontal="left" vertical="center" wrapText="1" indent="1"/>
    </xf>
    <xf numFmtId="0" fontId="1" fillId="2" borderId="62" xfId="0" applyFont="1" applyFill="1" applyBorder="1" applyAlignment="1">
      <alignment horizontal="left" vertical="center" wrapText="1" indent="1"/>
    </xf>
    <xf numFmtId="0" fontId="26" fillId="3" borderId="51" xfId="132" applyFont="1" applyFill="1" applyBorder="1" applyAlignment="1">
      <alignment horizontal="center" wrapText="1"/>
    </xf>
    <xf numFmtId="0" fontId="26" fillId="3" borderId="52" xfId="132" applyFont="1" applyFill="1" applyBorder="1" applyAlignment="1">
      <alignment horizontal="center" wrapText="1"/>
    </xf>
    <xf numFmtId="0" fontId="26" fillId="3" borderId="53" xfId="132" applyFont="1" applyFill="1" applyBorder="1" applyAlignment="1">
      <alignment horizontal="center" wrapText="1"/>
    </xf>
    <xf numFmtId="0" fontId="7" fillId="3" borderId="56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4" fontId="7" fillId="2" borderId="210" xfId="0" applyNumberFormat="1" applyFont="1" applyFill="1" applyBorder="1" applyAlignment="1">
      <alignment horizontal="left" vertical="center" wrapText="1"/>
    </xf>
    <xf numFmtId="4" fontId="7" fillId="2" borderId="211" xfId="0" applyNumberFormat="1" applyFont="1" applyFill="1" applyBorder="1" applyAlignment="1">
      <alignment horizontal="left" vertical="center" wrapText="1"/>
    </xf>
    <xf numFmtId="4" fontId="7" fillId="2" borderId="212" xfId="0" applyNumberFormat="1" applyFont="1" applyFill="1" applyBorder="1" applyAlignment="1">
      <alignment horizontal="left" vertical="center" wrapText="1"/>
    </xf>
    <xf numFmtId="4" fontId="7" fillId="2" borderId="213" xfId="0" applyNumberFormat="1" applyFont="1" applyFill="1" applyBorder="1" applyAlignment="1">
      <alignment horizontal="left" vertical="center" wrapText="1"/>
    </xf>
    <xf numFmtId="4" fontId="7" fillId="2" borderId="12" xfId="0" applyNumberFormat="1" applyFont="1" applyFill="1" applyBorder="1" applyAlignment="1">
      <alignment horizontal="left" vertical="center" wrapText="1"/>
    </xf>
    <xf numFmtId="4" fontId="7" fillId="2" borderId="184" xfId="0" applyNumberFormat="1" applyFont="1" applyFill="1" applyBorder="1" applyAlignment="1">
      <alignment horizontal="left" vertical="center" wrapText="1"/>
    </xf>
    <xf numFmtId="0" fontId="7" fillId="2" borderId="210" xfId="0" applyFont="1" applyFill="1" applyBorder="1" applyAlignment="1">
      <alignment horizontal="left" vertical="center" wrapText="1"/>
    </xf>
    <xf numFmtId="0" fontId="7" fillId="2" borderId="211" xfId="0" applyFont="1" applyFill="1" applyBorder="1" applyAlignment="1">
      <alignment horizontal="left" vertical="center" wrapText="1"/>
    </xf>
    <xf numFmtId="0" fontId="7" fillId="2" borderId="212" xfId="0" applyFont="1" applyFill="1" applyBorder="1" applyAlignment="1">
      <alignment horizontal="left" vertical="center" wrapText="1"/>
    </xf>
    <xf numFmtId="0" fontId="1" fillId="2" borderId="134" xfId="0" applyFont="1" applyFill="1" applyBorder="1" applyAlignment="1">
      <alignment horizontal="left" vertical="center" wrapText="1" indent="1"/>
    </xf>
    <xf numFmtId="0" fontId="1" fillId="2" borderId="215" xfId="0" applyFont="1" applyFill="1" applyBorder="1" applyAlignment="1">
      <alignment horizontal="left" vertical="center" wrapText="1" indent="1"/>
    </xf>
    <xf numFmtId="0" fontId="1" fillId="2" borderId="135" xfId="0" applyFont="1" applyFill="1" applyBorder="1" applyAlignment="1">
      <alignment horizontal="left" vertical="center" wrapText="1" indent="1"/>
    </xf>
    <xf numFmtId="0" fontId="24" fillId="2" borderId="0" xfId="0" applyFont="1" applyFill="1" applyAlignment="1">
      <alignment horizontal="left" vertical="center" wrapText="1"/>
    </xf>
    <xf numFmtId="0" fontId="26" fillId="3" borderId="16" xfId="132" applyFont="1" applyFill="1" applyBorder="1" applyAlignment="1">
      <alignment horizontal="right" wrapText="1"/>
    </xf>
    <xf numFmtId="0" fontId="26" fillId="3" borderId="17" xfId="132" applyFont="1" applyFill="1" applyBorder="1" applyAlignment="1">
      <alignment horizontal="right" wrapText="1"/>
    </xf>
    <xf numFmtId="0" fontId="7" fillId="2" borderId="93" xfId="0" applyFont="1" applyFill="1" applyBorder="1" applyAlignment="1">
      <alignment horizontal="left" vertical="center" wrapText="1"/>
    </xf>
    <xf numFmtId="0" fontId="7" fillId="2" borderId="94" xfId="0" applyFont="1" applyFill="1" applyBorder="1" applyAlignment="1">
      <alignment horizontal="left" vertical="center" wrapText="1"/>
    </xf>
    <xf numFmtId="0" fontId="7" fillId="2" borderId="98" xfId="0" applyFont="1" applyFill="1" applyBorder="1" applyAlignment="1">
      <alignment horizontal="left" vertical="center" wrapText="1"/>
    </xf>
    <xf numFmtId="0" fontId="7" fillId="3" borderId="51" xfId="0" applyFont="1" applyFill="1" applyBorder="1" applyAlignment="1">
      <alignment horizontal="center"/>
    </xf>
    <xf numFmtId="0" fontId="7" fillId="3" borderId="52" xfId="0" applyFont="1" applyFill="1" applyBorder="1" applyAlignment="1">
      <alignment horizontal="center"/>
    </xf>
    <xf numFmtId="0" fontId="7" fillId="3" borderId="53" xfId="0" applyFont="1" applyFill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55" xfId="0" applyFont="1" applyFill="1" applyBorder="1" applyAlignment="1">
      <alignment horizontal="center"/>
    </xf>
    <xf numFmtId="0" fontId="7" fillId="2" borderId="67" xfId="0" applyFont="1" applyFill="1" applyBorder="1" applyAlignment="1">
      <alignment horizontal="left"/>
    </xf>
    <xf numFmtId="0" fontId="7" fillId="2" borderId="69" xfId="0" applyFont="1" applyFill="1" applyBorder="1" applyAlignment="1">
      <alignment horizontal="left"/>
    </xf>
    <xf numFmtId="0" fontId="0" fillId="0" borderId="18" xfId="0" applyBorder="1" applyAlignment="1">
      <alignment horizontal="center" vertical="center"/>
    </xf>
    <xf numFmtId="0" fontId="7" fillId="2" borderId="68" xfId="0" applyFont="1" applyFill="1" applyBorder="1" applyAlignment="1">
      <alignment horizontal="left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4" fontId="7" fillId="2" borderId="67" xfId="0" applyNumberFormat="1" applyFont="1" applyFill="1" applyBorder="1" applyAlignment="1">
      <alignment horizontal="left"/>
    </xf>
    <xf numFmtId="4" fontId="7" fillId="2" borderId="69" xfId="0" applyNumberFormat="1" applyFont="1" applyFill="1" applyBorder="1" applyAlignment="1">
      <alignment horizontal="left"/>
    </xf>
    <xf numFmtId="4" fontId="1" fillId="2" borderId="93" xfId="0" applyNumberFormat="1" applyFont="1" applyFill="1" applyBorder="1" applyAlignment="1" applyProtection="1">
      <alignment horizontal="left" vertical="center"/>
      <protection locked="0"/>
    </xf>
    <xf numFmtId="4" fontId="1" fillId="2" borderId="98" xfId="0" applyNumberFormat="1" applyFont="1" applyFill="1" applyBorder="1" applyAlignment="1" applyProtection="1">
      <alignment horizontal="left" vertical="center"/>
      <protection locked="0"/>
    </xf>
    <xf numFmtId="4" fontId="1" fillId="2" borderId="60" xfId="0" applyNumberFormat="1" applyFont="1" applyFill="1" applyBorder="1" applyAlignment="1">
      <alignment horizontal="left" vertical="center"/>
    </xf>
    <xf numFmtId="4" fontId="1" fillId="2" borderId="62" xfId="0" applyNumberFormat="1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/>
    </xf>
    <xf numFmtId="0" fontId="7" fillId="2" borderId="18" xfId="0" applyFont="1" applyFill="1" applyBorder="1" applyAlignment="1">
      <alignment horizontal="left"/>
    </xf>
    <xf numFmtId="0" fontId="34" fillId="6" borderId="109" xfId="0" applyFont="1" applyFill="1" applyBorder="1" applyAlignment="1">
      <alignment horizontal="left"/>
    </xf>
    <xf numFmtId="0" fontId="34" fillId="6" borderId="110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center" wrapText="1"/>
    </xf>
    <xf numFmtId="0" fontId="33" fillId="6" borderId="109" xfId="0" applyFont="1" applyFill="1" applyBorder="1" applyAlignment="1">
      <alignment horizontal="left"/>
    </xf>
    <xf numFmtId="0" fontId="33" fillId="6" borderId="110" xfId="0" applyFont="1" applyFill="1" applyBorder="1" applyAlignment="1">
      <alignment horizontal="left"/>
    </xf>
    <xf numFmtId="4" fontId="56" fillId="2" borderId="158" xfId="0" applyNumberFormat="1" applyFont="1" applyFill="1" applyBorder="1" applyAlignment="1">
      <alignment horizontal="right" vertical="center"/>
    </xf>
    <xf numFmtId="4" fontId="56" fillId="2" borderId="159" xfId="0" applyNumberFormat="1" applyFont="1" applyFill="1" applyBorder="1" applyAlignment="1">
      <alignment horizontal="right" vertical="center"/>
    </xf>
    <xf numFmtId="4" fontId="56" fillId="2" borderId="160" xfId="0" applyNumberFormat="1" applyFont="1" applyFill="1" applyBorder="1" applyAlignment="1">
      <alignment horizontal="right" vertical="center"/>
    </xf>
    <xf numFmtId="4" fontId="10" fillId="3" borderId="16" xfId="0" applyNumberFormat="1" applyFont="1" applyFill="1" applyBorder="1" applyAlignment="1">
      <alignment horizontal="left" vertical="center"/>
    </xf>
    <xf numFmtId="4" fontId="10" fillId="3" borderId="18" xfId="0" applyNumberFormat="1" applyFont="1" applyFill="1" applyBorder="1" applyAlignment="1">
      <alignment horizontal="left" vertical="center"/>
    </xf>
    <xf numFmtId="3" fontId="9" fillId="3" borderId="0" xfId="0" applyNumberFormat="1" applyFont="1" applyFill="1" applyAlignment="1">
      <alignment horizontal="center" vertical="center"/>
    </xf>
    <xf numFmtId="4" fontId="7" fillId="4" borderId="0" xfId="0" applyNumberFormat="1" applyFont="1" applyFill="1" applyAlignment="1">
      <alignment horizontal="left" vertical="center" wrapText="1"/>
    </xf>
    <xf numFmtId="4" fontId="11" fillId="3" borderId="16" xfId="0" applyNumberFormat="1" applyFont="1" applyFill="1" applyBorder="1" applyAlignment="1">
      <alignment horizontal="center" vertical="center"/>
    </xf>
    <xf numFmtId="4" fontId="11" fillId="3" borderId="18" xfId="0" applyNumberFormat="1" applyFont="1" applyFill="1" applyBorder="1" applyAlignment="1">
      <alignment horizontal="center" vertical="center"/>
    </xf>
    <xf numFmtId="4" fontId="10" fillId="3" borderId="16" xfId="0" applyNumberFormat="1" applyFont="1" applyFill="1" applyBorder="1" applyAlignment="1">
      <alignment vertical="center"/>
    </xf>
    <xf numFmtId="4" fontId="10" fillId="3" borderId="18" xfId="0" applyNumberFormat="1" applyFont="1" applyFill="1" applyBorder="1" applyAlignment="1">
      <alignment vertical="center"/>
    </xf>
    <xf numFmtId="4" fontId="18" fillId="2" borderId="12" xfId="0" applyNumberFormat="1" applyFont="1" applyFill="1" applyBorder="1" applyAlignment="1">
      <alignment horizontal="left"/>
    </xf>
    <xf numFmtId="4" fontId="33" fillId="10" borderId="109" xfId="0" applyNumberFormat="1" applyFont="1" applyFill="1" applyBorder="1" applyAlignment="1">
      <alignment horizontal="left" vertical="center"/>
    </xf>
    <xf numFmtId="4" fontId="33" fillId="10" borderId="110" xfId="0" applyNumberFormat="1" applyFont="1" applyFill="1" applyBorder="1" applyAlignment="1">
      <alignment horizontal="left" vertical="center"/>
    </xf>
    <xf numFmtId="4" fontId="51" fillId="8" borderId="109" xfId="0" applyNumberFormat="1" applyFont="1" applyFill="1" applyBorder="1" applyAlignment="1">
      <alignment horizontal="left"/>
    </xf>
    <xf numFmtId="4" fontId="51" fillId="8" borderId="110" xfId="0" applyNumberFormat="1" applyFont="1" applyFill="1" applyBorder="1" applyAlignment="1">
      <alignment horizontal="left"/>
    </xf>
    <xf numFmtId="4" fontId="10" fillId="9" borderId="16" xfId="0" applyNumberFormat="1" applyFont="1" applyFill="1" applyBorder="1" applyAlignment="1">
      <alignment horizontal="left" vertical="center"/>
    </xf>
    <xf numFmtId="4" fontId="10" fillId="9" borderId="18" xfId="0" applyNumberFormat="1" applyFont="1" applyFill="1" applyBorder="1" applyAlignment="1">
      <alignment horizontal="left" vertical="center"/>
    </xf>
    <xf numFmtId="4" fontId="33" fillId="8" borderId="109" xfId="0" applyNumberFormat="1" applyFont="1" applyFill="1" applyBorder="1" applyAlignment="1">
      <alignment horizontal="left" vertical="center"/>
    </xf>
    <xf numFmtId="4" fontId="33" fillId="8" borderId="110" xfId="0" applyNumberFormat="1" applyFont="1" applyFill="1" applyBorder="1" applyAlignment="1">
      <alignment horizontal="left" vertical="center"/>
    </xf>
    <xf numFmtId="4" fontId="7" fillId="11" borderId="16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vertical="center"/>
    </xf>
    <xf numFmtId="4" fontId="10" fillId="11" borderId="16" xfId="0" applyNumberFormat="1" applyFont="1" applyFill="1" applyBorder="1" applyAlignment="1">
      <alignment horizontal="left" vertical="center"/>
    </xf>
    <xf numFmtId="4" fontId="10" fillId="11" borderId="18" xfId="0" applyNumberFormat="1" applyFont="1" applyFill="1" applyBorder="1" applyAlignment="1">
      <alignment horizontal="left" vertical="center"/>
    </xf>
  </cellXfs>
  <cellStyles count="1091">
    <cellStyle name="Hipervínculo" xfId="587" builtinId="8" hidden="1"/>
    <cellStyle name="Hipervínculo" xfId="595" builtinId="8" hidden="1"/>
    <cellStyle name="Hipervínculo" xfId="247" builtinId="8" hidden="1"/>
    <cellStyle name="Hipervínculo" xfId="277" builtinId="8" hidden="1"/>
    <cellStyle name="Hipervínculo" xfId="961" builtinId="8" hidden="1"/>
    <cellStyle name="Hipervínculo" xfId="1021" builtinId="8" hidden="1"/>
    <cellStyle name="Hipervínculo" xfId="433" builtinId="8" hidden="1"/>
    <cellStyle name="Hipervínculo" xfId="663" builtinId="8" hidden="1"/>
    <cellStyle name="Hipervínculo" xfId="527" builtinId="8" hidden="1"/>
    <cellStyle name="Hipervínculo" xfId="353" builtinId="8" hidden="1"/>
    <cellStyle name="Hipervínculo" xfId="571" builtinId="8" hidden="1"/>
    <cellStyle name="Hipervínculo" xfId="41" builtinId="8" hidden="1"/>
    <cellStyle name="Hipervínculo" xfId="691" builtinId="8" hidden="1"/>
    <cellStyle name="Hipervínculo" xfId="137" builtinId="8" hidden="1"/>
    <cellStyle name="Hipervínculo" xfId="679" builtinId="8" hidden="1"/>
    <cellStyle name="Hipervínculo" xfId="693" builtinId="8" hidden="1"/>
    <cellStyle name="Hipervínculo" xfId="501" builtinId="8" hidden="1"/>
    <cellStyle name="Hipervínculo" xfId="255" builtinId="8" hidden="1"/>
    <cellStyle name="Hipervínculo" xfId="101" builtinId="8" hidden="1"/>
    <cellStyle name="Hipervínculo" xfId="1079" builtinId="8" hidden="1"/>
    <cellStyle name="Hipervínculo" xfId="561" builtinId="8" hidden="1"/>
    <cellStyle name="Hipervínculo" xfId="251" builtinId="8" hidden="1"/>
    <cellStyle name="Hipervínculo" xfId="201" builtinId="8" hidden="1"/>
    <cellStyle name="Hipervínculo" xfId="1027" builtinId="8" hidden="1"/>
    <cellStyle name="Hipervínculo" xfId="459" builtinId="8" hidden="1"/>
    <cellStyle name="Hipervínculo" xfId="751" builtinId="8" hidden="1"/>
    <cellStyle name="Hipervínculo" xfId="1011" builtinId="8" hidden="1"/>
    <cellStyle name="Hipervínculo" xfId="83" builtinId="8" hidden="1"/>
    <cellStyle name="Hipervínculo" xfId="859" builtinId="8" hidden="1"/>
    <cellStyle name="Hipervínculo" xfId="445" builtinId="8" hidden="1"/>
    <cellStyle name="Hipervínculo" xfId="421" builtinId="8" hidden="1"/>
    <cellStyle name="Hipervínculo" xfId="633" builtinId="8" hidden="1"/>
    <cellStyle name="Hipervínculo" xfId="239" builtinId="8" hidden="1"/>
    <cellStyle name="Hipervínculo" xfId="943" builtinId="8" hidden="1"/>
    <cellStyle name="Hipervínculo" xfId="671" builtinId="8" hidden="1"/>
    <cellStyle name="Hipervínculo" xfId="927" builtinId="8" hidden="1"/>
    <cellStyle name="Hipervínculo" xfId="1081" builtinId="8" hidden="1"/>
    <cellStyle name="Hipervínculo" xfId="557" builtinId="8" hidden="1"/>
    <cellStyle name="Hipervínculo" xfId="293" builtinId="8" hidden="1"/>
    <cellStyle name="Hipervínculo" xfId="617" builtinId="8" hidden="1"/>
    <cellStyle name="Hipervínculo" xfId="703" builtinId="8" hidden="1"/>
    <cellStyle name="Hipervínculo" xfId="195" builtinId="8" hidden="1"/>
    <cellStyle name="Hipervínculo" xfId="389" builtinId="8" hidden="1"/>
    <cellStyle name="Hipervínculo" xfId="73" builtinId="8" hidden="1"/>
    <cellStyle name="Hipervínculo" xfId="685" builtinId="8" hidden="1"/>
    <cellStyle name="Hipervínculo" xfId="929" builtinId="8" hidden="1"/>
    <cellStyle name="Hipervínculo" xfId="375" builtinId="8" hidden="1"/>
    <cellStyle name="Hipervínculo" xfId="791" builtinId="8" hidden="1"/>
    <cellStyle name="Hipervínculo" xfId="151" builtinId="8" hidden="1"/>
    <cellStyle name="Hipervínculo" xfId="1063" builtinId="8" hidden="1"/>
    <cellStyle name="Hipervínculo" xfId="117" builtinId="8" hidden="1"/>
    <cellStyle name="Hipervínculo" xfId="769" builtinId="8" hidden="1"/>
    <cellStyle name="Hipervínculo" xfId="235" builtinId="8" hidden="1"/>
    <cellStyle name="Hipervínculo" xfId="975" builtinId="8" hidden="1"/>
    <cellStyle name="Hipervínculo" xfId="515" builtinId="8" hidden="1"/>
    <cellStyle name="Hipervínculo" xfId="149" builtinId="8" hidden="1"/>
    <cellStyle name="Hipervínculo" xfId="97" builtinId="8" hidden="1"/>
    <cellStyle name="Hipervínculo" xfId="735" builtinId="8" hidden="1"/>
    <cellStyle name="Hipervínculo" xfId="733" builtinId="8" hidden="1"/>
    <cellStyle name="Hipervínculo" xfId="337" builtinId="8" hidden="1"/>
    <cellStyle name="Hipervínculo" xfId="965" builtinId="8" hidden="1"/>
    <cellStyle name="Hipervínculo" xfId="759" builtinId="8" hidden="1"/>
    <cellStyle name="Hipervínculo" xfId="207" builtinId="8" hidden="1"/>
    <cellStyle name="Hipervínculo" xfId="731" builtinId="8" hidden="1"/>
    <cellStyle name="Hipervínculo" xfId="29" builtinId="8" hidden="1"/>
    <cellStyle name="Hipervínculo" xfId="1065" builtinId="8" hidden="1"/>
    <cellStyle name="Hipervínculo" xfId="877" builtinId="8" hidden="1"/>
    <cellStyle name="Hipervínculo" xfId="573" builtinId="8" hidden="1"/>
    <cellStyle name="Hipervínculo" xfId="603" builtinId="8" hidden="1"/>
    <cellStyle name="Hipervínculo" xfId="269" builtinId="8" hidden="1"/>
    <cellStyle name="Hipervínculo" xfId="493" builtinId="8" hidden="1"/>
    <cellStyle name="Hipervínculo" xfId="19" builtinId="8" hidden="1"/>
    <cellStyle name="Hipervínculo" xfId="687" builtinId="8" hidden="1"/>
    <cellStyle name="Hipervínculo" xfId="995" builtinId="8" hidden="1"/>
    <cellStyle name="Hipervínculo" xfId="95" builtinId="8" hidden="1"/>
    <cellStyle name="Hipervínculo" xfId="565" builtinId="8" hidden="1"/>
    <cellStyle name="Hipervínculo" xfId="475" builtinId="8" hidden="1"/>
    <cellStyle name="Hipervínculo" xfId="465" builtinId="8" hidden="1"/>
    <cellStyle name="Hipervínculo" xfId="47" builtinId="8" hidden="1"/>
    <cellStyle name="Hipervínculo" xfId="23" builtinId="8" hidden="1"/>
    <cellStyle name="Hipervínculo" xfId="133" builtinId="8" hidden="1"/>
    <cellStyle name="Hipervínculo" xfId="981" builtinId="8" hidden="1"/>
    <cellStyle name="Hipervínculo" xfId="467" builtinId="8" hidden="1"/>
    <cellStyle name="Hipervínculo" xfId="615" builtinId="8" hidden="1"/>
    <cellStyle name="Hipervínculo" xfId="635" builtinId="8" hidden="1"/>
    <cellStyle name="Hipervínculo" xfId="93" builtinId="8" hidden="1"/>
    <cellStyle name="Hipervínculo" xfId="25" builtinId="8" hidden="1"/>
    <cellStyle name="Hipervínculo" xfId="233" builtinId="8" hidden="1"/>
    <cellStyle name="Hipervínculo" xfId="783" builtinId="8" hidden="1"/>
    <cellStyle name="Hipervínculo" xfId="399" builtinId="8" hidden="1"/>
    <cellStyle name="Hipervínculo" xfId="171" builtinId="8" hidden="1"/>
    <cellStyle name="Hipervínculo" xfId="953" builtinId="8" hidden="1"/>
    <cellStyle name="Hipervínculo" xfId="447" builtinId="8" hidden="1"/>
    <cellStyle name="Hipervínculo" xfId="905" builtinId="8" hidden="1"/>
    <cellStyle name="Hipervínculo" xfId="165" builtinId="8" hidden="1"/>
    <cellStyle name="Hipervínculo" xfId="851" builtinId="8" hidden="1"/>
    <cellStyle name="Hipervínculo" xfId="331" builtinId="8" hidden="1"/>
    <cellStyle name="Hipervínculo" xfId="541" builtinId="8" hidden="1"/>
    <cellStyle name="Hipervínculo" xfId="319" builtinId="8" hidden="1"/>
    <cellStyle name="Hipervínculo" xfId="231" builtinId="8" hidden="1"/>
    <cellStyle name="Hipervínculo" xfId="205" builtinId="8" hidden="1"/>
    <cellStyle name="Hipervínculo" xfId="775" builtinId="8" hidden="1"/>
    <cellStyle name="Hipervínculo" xfId="321" builtinId="8" hidden="1"/>
    <cellStyle name="Hipervínculo" xfId="263" builtinId="8" hidden="1"/>
    <cellStyle name="Hipervínculo" xfId="419" builtinId="8" hidden="1"/>
    <cellStyle name="Hipervínculo" xfId="13" builtinId="8" hidden="1"/>
    <cellStyle name="Hipervínculo" xfId="327" builtinId="8" hidden="1"/>
    <cellStyle name="Hipervínculo" xfId="1003" builtinId="8" hidden="1"/>
    <cellStyle name="Hipervínculo" xfId="781" builtinId="8" hidden="1"/>
    <cellStyle name="Hipervínculo" xfId="649" builtinId="8" hidden="1"/>
    <cellStyle name="Hipervínculo" xfId="1055" builtinId="8" hidden="1"/>
    <cellStyle name="Hipervínculo" xfId="883" builtinId="8" hidden="1"/>
    <cellStyle name="Hipervínculo" xfId="763" builtinId="8" hidden="1"/>
    <cellStyle name="Hipervínculo" xfId="711" builtinId="8" hidden="1"/>
    <cellStyle name="Hipervínculo" xfId="709" builtinId="8" hidden="1"/>
    <cellStyle name="Hipervínculo" xfId="453" builtinId="8" hidden="1"/>
    <cellStyle name="Hipervínculo" xfId="523" builtinId="8" hidden="1"/>
    <cellStyle name="Hipervínculo" xfId="841" builtinId="8" hidden="1"/>
    <cellStyle name="Hipervínculo" xfId="443" builtinId="8" hidden="1"/>
    <cellStyle name="Hipervínculo" xfId="213" builtinId="8" hidden="1"/>
    <cellStyle name="Hipervínculo" xfId="469" builtinId="8" hidden="1"/>
    <cellStyle name="Hipervínculo" xfId="747" builtinId="8" hidden="1"/>
    <cellStyle name="Hipervínculo" xfId="153" builtinId="8" hidden="1"/>
    <cellStyle name="Hipervínculo" xfId="259" builtinId="8" hidden="1"/>
    <cellStyle name="Hipervínculo" xfId="583" builtinId="8" hidden="1"/>
    <cellStyle name="Hipervínculo" xfId="813" builtinId="8" hidden="1"/>
    <cellStyle name="Hipervínculo" xfId="817" builtinId="8" hidden="1"/>
    <cellStyle name="Hipervínculo" xfId="535" builtinId="8" hidden="1"/>
    <cellStyle name="Hipervínculo" xfId="1033" builtinId="8" hidden="1"/>
    <cellStyle name="Hipervínculo" xfId="365" builtinId="8" hidden="1"/>
    <cellStyle name="Hipervínculo" xfId="865" builtinId="8" hidden="1"/>
    <cellStyle name="Hipervínculo" xfId="45" builtinId="8" hidden="1"/>
    <cellStyle name="Hipervínculo" xfId="673" builtinId="8" hidden="1"/>
    <cellStyle name="Hipervínculo" xfId="301" builtinId="8" hidden="1"/>
    <cellStyle name="Hipervínculo" xfId="967" builtinId="8" hidden="1"/>
    <cellStyle name="Hipervínculo" xfId="579" builtinId="8" hidden="1"/>
    <cellStyle name="Hipervínculo" xfId="371" builtinId="8" hidden="1"/>
    <cellStyle name="Hipervínculo" xfId="533" builtinId="8" hidden="1"/>
    <cellStyle name="Hipervínculo" xfId="75" builtinId="8" hidden="1"/>
    <cellStyle name="Hipervínculo" xfId="167" builtinId="8" hidden="1"/>
    <cellStyle name="Hipervínculo" xfId="425" builtinId="8" hidden="1"/>
    <cellStyle name="Hipervínculo" xfId="1087" builtinId="8" hidden="1"/>
    <cellStyle name="Hipervínculo" xfId="543" builtinId="8" hidden="1"/>
    <cellStyle name="Hipervínculo" xfId="361" builtinId="8" hidden="1"/>
    <cellStyle name="Hipervínculo" xfId="853" builtinId="8" hidden="1"/>
    <cellStyle name="Hipervínculo" xfId="261" builtinId="8" hidden="1"/>
    <cellStyle name="Hipervínculo" xfId="845" builtinId="8" hidden="1"/>
    <cellStyle name="Hipervínculo" xfId="647" builtinId="8" hidden="1"/>
    <cellStyle name="Hipervínculo" xfId="225" builtinId="8" hidden="1"/>
    <cellStyle name="Hipervínculo" xfId="651" builtinId="8" hidden="1"/>
    <cellStyle name="Hipervínculo" xfId="921" builtinId="8" hidden="1"/>
    <cellStyle name="Hipervínculo" xfId="737" builtinId="8" hidden="1"/>
    <cellStyle name="Hipervínculo" xfId="85" builtinId="8" hidden="1"/>
    <cellStyle name="Hipervínculo" xfId="187" builtinId="8" hidden="1"/>
    <cellStyle name="Hipervínculo" xfId="1019" builtinId="8" hidden="1"/>
    <cellStyle name="Hipervínculo" xfId="599" builtinId="8" hidden="1"/>
    <cellStyle name="Hipervínculo" xfId="1061" builtinId="8" hidden="1"/>
    <cellStyle name="Hipervínculo" xfId="477" builtinId="8" hidden="1"/>
    <cellStyle name="Hipervínculo" xfId="461" builtinId="8" hidden="1"/>
    <cellStyle name="Hipervínculo" xfId="655" builtinId="8" hidden="1"/>
    <cellStyle name="Hipervínculo" xfId="61" builtinId="8" hidden="1"/>
    <cellStyle name="Hipervínculo" xfId="123" builtinId="8" hidden="1"/>
    <cellStyle name="Hipervínculo" xfId="843" builtinId="8" hidden="1"/>
    <cellStyle name="Hipervínculo" xfId="37" builtinId="8" hidden="1"/>
    <cellStyle name="Hipervínculo" xfId="1025" builtinId="8" hidden="1"/>
    <cellStyle name="Hipervínculo" xfId="363" builtinId="8" hidden="1"/>
    <cellStyle name="Hipervínculo" xfId="1077" builtinId="8" hidden="1"/>
    <cellStyle name="Hipervínculo" xfId="971" builtinId="8" hidden="1"/>
    <cellStyle name="Hipervínculo" xfId="657" builtinId="8" hidden="1"/>
    <cellStyle name="Hipervínculo" xfId="911" builtinId="8" hidden="1"/>
    <cellStyle name="Hipervínculo" xfId="271" builtinId="8" hidden="1"/>
    <cellStyle name="Hipervínculo" xfId="601" builtinId="8" hidden="1"/>
    <cellStyle name="Hipervínculo" xfId="745" builtinId="8" hidden="1"/>
    <cellStyle name="Hipervínculo" xfId="1049" builtinId="8" hidden="1"/>
    <cellStyle name="Hipervínculo" xfId="177" builtinId="8" hidden="1"/>
    <cellStyle name="Hipervínculo" xfId="103" builtinId="8" hidden="1"/>
    <cellStyle name="Hipervínculo" xfId="979" builtinId="8" hidden="1"/>
    <cellStyle name="Hipervínculo" xfId="743" builtinId="8" hidden="1"/>
    <cellStyle name="Hipervínculo" xfId="669" builtinId="8" hidden="1"/>
    <cellStyle name="Hipervínculo" xfId="125" builtinId="8" hidden="1"/>
    <cellStyle name="Hipervínculo" xfId="729" builtinId="8" hidden="1"/>
    <cellStyle name="Hipervínculo" xfId="257" builtinId="8" hidden="1"/>
    <cellStyle name="Hipervínculo" xfId="1057" builtinId="8" hidden="1"/>
    <cellStyle name="Hipervínculo" xfId="987" builtinId="8" hidden="1"/>
    <cellStyle name="Hipervínculo" xfId="909" builtinId="8" hidden="1"/>
    <cellStyle name="Hipervínculo" xfId="1013" builtinId="8" hidden="1"/>
    <cellStyle name="Hipervínculo" xfId="11" builtinId="8" hidden="1"/>
    <cellStyle name="Hipervínculo" xfId="993" builtinId="8" hidden="1"/>
    <cellStyle name="Hipervínculo" xfId="755" builtinId="8" hidden="1"/>
    <cellStyle name="Hipervínculo" xfId="161" builtinId="8" hidden="1"/>
    <cellStyle name="Hipervínculo" xfId="403" builtinId="8" hidden="1"/>
    <cellStyle name="Hipervínculo" xfId="111" builtinId="8" hidden="1"/>
    <cellStyle name="Hipervínculo" xfId="749" builtinId="8" hidden="1"/>
    <cellStyle name="Hipervínculo" xfId="329" builtinId="8" hidden="1"/>
    <cellStyle name="Hipervínculo" xfId="495" builtinId="8" hidden="1"/>
    <cellStyle name="Hipervínculo" xfId="155" builtinId="8" hidden="1"/>
    <cellStyle name="Hipervínculo" xfId="463" builtinId="8" hidden="1"/>
    <cellStyle name="Hipervínculo" xfId="997" builtinId="8" hidden="1"/>
    <cellStyle name="Hipervínculo" xfId="645" builtinId="8" hidden="1"/>
    <cellStyle name="Hipervínculo" xfId="887" builtinId="8" hidden="1"/>
    <cellStyle name="Hipervínculo" xfId="309" builtinId="8" hidden="1"/>
    <cellStyle name="Hipervínculo" xfId="847" builtinId="8" hidden="1"/>
    <cellStyle name="Hipervínculo" xfId="135" builtinId="8" hidden="1"/>
    <cellStyle name="Hipervínculo" xfId="253" builtinId="8" hidden="1"/>
    <cellStyle name="Hipervínculo" xfId="139" builtinId="8" hidden="1"/>
    <cellStyle name="Hipervínculo" xfId="115" builtinId="8" hidden="1"/>
    <cellStyle name="Hipervínculo" xfId="209" builtinId="8" hidden="1"/>
    <cellStyle name="Hipervínculo" xfId="529" builtinId="8" hidden="1"/>
    <cellStyle name="Hipervínculo" xfId="809" builtinId="8" hidden="1"/>
    <cellStyle name="Hipervínculo" xfId="551" builtinId="8" hidden="1"/>
    <cellStyle name="Hipervínculo" xfId="7" builtinId="8" hidden="1"/>
    <cellStyle name="Hipervínculo" xfId="861" builtinId="8" hidden="1"/>
    <cellStyle name="Hipervínculo" xfId="57" builtinId="8" hidden="1"/>
    <cellStyle name="Hipervínculo" xfId="405" builtinId="8" hidden="1"/>
    <cellStyle name="Hipervínculo" xfId="119" builtinId="8" hidden="1"/>
    <cellStyle name="Hipervínculo" xfId="211" builtinId="8" hidden="1"/>
    <cellStyle name="Hipervínculo" xfId="675" builtinId="8" hidden="1"/>
    <cellStyle name="Hipervínculo" xfId="957" builtinId="8" hidden="1"/>
    <cellStyle name="Hipervínculo" xfId="367" builtinId="8" hidden="1"/>
    <cellStyle name="Hipervínculo" xfId="307" builtinId="8" hidden="1"/>
    <cellStyle name="Hipervínculo" xfId="879" builtinId="8" hidden="1"/>
    <cellStyle name="Hipervínculo" xfId="393" builtinId="8" hidden="1"/>
    <cellStyle name="Hipervínculo" xfId="1023" builtinId="8" hidden="1"/>
    <cellStyle name="Hipervínculo" xfId="415" builtinId="8" hidden="1"/>
    <cellStyle name="Hipervínculo" xfId="641" builtinId="8" hidden="1"/>
    <cellStyle name="Hipervínculo" xfId="725" builtinId="8" hidden="1"/>
    <cellStyle name="Hipervínculo" xfId="339" builtinId="8" hidden="1"/>
    <cellStyle name="Hipervínculo" xfId="1035" builtinId="8" hidden="1"/>
    <cellStyle name="Hipervínculo" xfId="379" builtinId="8" hidden="1"/>
    <cellStyle name="Hipervínculo" xfId="701" builtinId="8" hidden="1"/>
    <cellStyle name="Hipervínculo" xfId="347" builtinId="8" hidden="1"/>
    <cellStyle name="Hipervínculo" xfId="525" builtinId="8" hidden="1"/>
    <cellStyle name="Hipervínculo" xfId="833" builtinId="8" hidden="1"/>
    <cellStyle name="Hipervínculo" xfId="473" builtinId="8" hidden="1"/>
    <cellStyle name="Hipervínculo" xfId="439" builtinId="8" hidden="1"/>
    <cellStyle name="Hipervínculo" xfId="567" builtinId="8" hidden="1"/>
    <cellStyle name="Hipervínculo" xfId="903" builtinId="8" hidden="1"/>
    <cellStyle name="Hipervínculo" xfId="705" builtinId="8" hidden="1"/>
    <cellStyle name="Hipervínculo" xfId="223" builtinId="8" hidden="1"/>
    <cellStyle name="Hipervínculo" xfId="589" builtinId="8" hidden="1"/>
    <cellStyle name="Hipervínculo" xfId="325" builtinId="8" hidden="1"/>
    <cellStyle name="Hipervínculo" xfId="901" builtinId="8" hidden="1"/>
    <cellStyle name="Hipervínculo" xfId="593" builtinId="8" hidden="1"/>
    <cellStyle name="Hipervínculo" xfId="91" builtinId="8" hidden="1"/>
    <cellStyle name="Hipervínculo" xfId="241" builtinId="8" hidden="1"/>
    <cellStyle name="Hipervínculo" xfId="717" builtinId="8" hidden="1"/>
    <cellStyle name="Hipervínculo" xfId="283" builtinId="8" hidden="1"/>
    <cellStyle name="Hipervínculo" xfId="109" builtinId="8" hidden="1"/>
    <cellStyle name="Hipervínculo" xfId="245" builtinId="8" hidden="1"/>
    <cellStyle name="Hipervínculo" xfId="555" builtinId="8" hidden="1"/>
    <cellStyle name="Hipervínculo" xfId="355" builtinId="8" hidden="1"/>
    <cellStyle name="Hipervínculo" xfId="819" builtinId="8" hidden="1"/>
    <cellStyle name="Hipervínculo" xfId="661" builtinId="8" hidden="1"/>
    <cellStyle name="Hipervínculo" xfId="59" builtinId="8" hidden="1"/>
    <cellStyle name="Hipervínculo" xfId="1005" builtinId="8" hidden="1"/>
    <cellStyle name="Hipervínculo" xfId="351" builtinId="8" hidden="1"/>
    <cellStyle name="Hipervínculo" xfId="349" builtinId="8" hidden="1"/>
    <cellStyle name="Hipervínculo" xfId="591" builtinId="8" hidden="1"/>
    <cellStyle name="Hipervínculo" xfId="39" builtinId="8" hidden="1"/>
    <cellStyle name="Hipervínculo" xfId="695" builtinId="8" hidden="1"/>
    <cellStyle name="Hipervínculo" xfId="193" builtinId="8" hidden="1"/>
    <cellStyle name="Hipervínculo" xfId="699" builtinId="8" hidden="1"/>
    <cellStyle name="Hipervínculo" xfId="1" builtinId="8" hidden="1"/>
    <cellStyle name="Hipervínculo" xfId="969" builtinId="8" hidden="1"/>
    <cellStyle name="Hipervínculo" xfId="963" builtinId="8" hidden="1"/>
    <cellStyle name="Hipervínculo" xfId="1071" builtinId="8" hidden="1"/>
    <cellStyle name="Hipervínculo" xfId="383" builtinId="8" hidden="1"/>
    <cellStyle name="Hipervínculo" xfId="435" builtinId="8" hidden="1"/>
    <cellStyle name="Hipervínculo" xfId="799" builtinId="8" hidden="1"/>
    <cellStyle name="Hipervínculo" xfId="949" builtinId="8" hidden="1"/>
    <cellStyle name="Hipervínculo" xfId="1037" builtinId="8" hidden="1"/>
    <cellStyle name="Hipervínculo" xfId="489" builtinId="8" hidden="1"/>
    <cellStyle name="Hipervínculo" xfId="697" builtinId="8" hidden="1"/>
    <cellStyle name="Hipervínculo" xfId="1001" builtinId="8" hidden="1"/>
    <cellStyle name="Hipervínculo" xfId="977" builtinId="8" hidden="1"/>
    <cellStyle name="Hipervínculo" xfId="623" builtinId="8" hidden="1"/>
    <cellStyle name="Hipervínculo" xfId="559" builtinId="8" hidden="1"/>
    <cellStyle name="Hipervínculo" xfId="369" builtinId="8" hidden="1"/>
    <cellStyle name="Hipervínculo" xfId="891" builtinId="8" hidden="1"/>
    <cellStyle name="Hipervínculo" xfId="581" builtinId="8" hidden="1"/>
    <cellStyle name="Hipervínculo" xfId="855" builtinId="8" hidden="1"/>
    <cellStyle name="Hipervínculo" xfId="951" builtinId="8" hidden="1"/>
    <cellStyle name="Hipervínculo" xfId="1075" builtinId="8" hidden="1"/>
    <cellStyle name="Hipervínculo" xfId="491" builtinId="8" hidden="1"/>
    <cellStyle name="Hipervínculo" xfId="381" builtinId="8" hidden="1"/>
    <cellStyle name="Hipervínculo" xfId="483" builtinId="8" hidden="1"/>
    <cellStyle name="Hipervínculo" xfId="455" builtinId="8" hidden="1"/>
    <cellStyle name="Hipervínculo" xfId="1047" builtinId="8" hidden="1"/>
    <cellStyle name="Hipervínculo" xfId="609" builtinId="8" hidden="1"/>
    <cellStyle name="Hipervínculo" xfId="31" builtinId="8" hidden="1"/>
    <cellStyle name="Hipervínculo" xfId="611" builtinId="8" hidden="1"/>
    <cellStyle name="Hipervínculo" xfId="793" builtinId="8" hidden="1"/>
    <cellStyle name="Hipervínculo" xfId="897" builtinId="8" hidden="1"/>
    <cellStyle name="Hipervínculo" xfId="387" builtinId="8" hidden="1"/>
    <cellStyle name="Hipervínculo" xfId="1043" builtinId="8" hidden="1"/>
    <cellStyle name="Hipervínculo" xfId="157" builtinId="8" hidden="1"/>
    <cellStyle name="Hipervínculo" xfId="169" builtinId="8" hidden="1"/>
    <cellStyle name="Hipervínculo" xfId="771" builtinId="8" hidden="1"/>
    <cellStyle name="Hipervínculo" xfId="1083" builtinId="8" hidden="1"/>
    <cellStyle name="Hipervínculo" xfId="665" builtinId="8" hidden="1"/>
    <cellStyle name="Hipervínculo" xfId="863" builtinId="8" hidden="1"/>
    <cellStyle name="Hipervínculo" xfId="183" builtinId="8" hidden="1"/>
    <cellStyle name="Hipervínculo" xfId="243" builtinId="8" hidden="1"/>
    <cellStyle name="Hipervínculo" xfId="959" builtinId="8" hidden="1"/>
    <cellStyle name="Hipervínculo" xfId="287" builtinId="8" hidden="1"/>
    <cellStyle name="Hipervínculo" xfId="805" builtinId="8" hidden="1"/>
    <cellStyle name="Hipervínculo" xfId="597" builtinId="8" hidden="1"/>
    <cellStyle name="Hipervínculo" xfId="1051" builtinId="8" hidden="1"/>
    <cellStyle name="Hipervínculo" xfId="907" builtinId="8" hidden="1"/>
    <cellStyle name="Hipervínculo" xfId="217" builtinId="8" hidden="1"/>
    <cellStyle name="Hipervínculo" xfId="505" builtinId="8" hidden="1"/>
    <cellStyle name="Hipervínculo" xfId="397" builtinId="8" hidden="1"/>
    <cellStyle name="Hipervínculo" xfId="653" builtinId="8" hidden="1"/>
    <cellStyle name="Hipervínculo" xfId="913" builtinId="8" hidden="1"/>
    <cellStyle name="Hipervínculo" xfId="563" builtinId="8" hidden="1"/>
    <cellStyle name="Hipervínculo" xfId="3" builtinId="8" hidden="1"/>
    <cellStyle name="Hipervínculo" xfId="511" builtinId="8" hidden="1"/>
    <cellStyle name="Hipervínculo" xfId="1031" builtinId="8" hidden="1"/>
    <cellStyle name="Hipervínculo" xfId="621" builtinId="8" hidden="1"/>
    <cellStyle name="Hipervínculo" xfId="785" builtinId="8" hidden="1"/>
    <cellStyle name="Hipervínculo" xfId="413" builtinId="8" hidden="1"/>
    <cellStyle name="Hipervínculo" xfId="411" builtinId="8" hidden="1"/>
    <cellStyle name="Hipervínculo" xfId="639" builtinId="8" hidden="1"/>
    <cellStyle name="Hipervínculo" xfId="585" builtinId="8" hidden="1"/>
    <cellStyle name="Hipervínculo" xfId="99" builtinId="8" hidden="1"/>
    <cellStyle name="Hipervínculo" xfId="427" builtinId="8" hidden="1"/>
    <cellStyle name="Hipervínculo" xfId="409" builtinId="8" hidden="1"/>
    <cellStyle name="Hipervínculo" xfId="823" builtinId="8" hidden="1"/>
    <cellStyle name="Hipervínculo" xfId="539" builtinId="8" hidden="1"/>
    <cellStyle name="Hipervínculo" xfId="513" builtinId="8" hidden="1"/>
    <cellStyle name="Hipervínculo" xfId="625" builtinId="8" hidden="1"/>
    <cellStyle name="Hipervínculo" xfId="815" builtinId="8" hidden="1"/>
    <cellStyle name="Hipervínculo" xfId="197" builtinId="8" hidden="1"/>
    <cellStyle name="Hipervínculo" xfId="275" builtinId="8" hidden="1"/>
    <cellStyle name="Hipervínculo" xfId="229" builtinId="8" hidden="1"/>
    <cellStyle name="Hipervínculo" xfId="643" builtinId="8" hidden="1"/>
    <cellStyle name="Hipervínculo" xfId="345" builtinId="8" hidden="1"/>
    <cellStyle name="Hipervínculo" xfId="237" builtinId="8" hidden="1"/>
    <cellStyle name="Hipervínculo" xfId="227" builtinId="8" hidden="1"/>
    <cellStyle name="Hipervínculo" xfId="437" builtinId="8" hidden="1"/>
    <cellStyle name="Hipervínculo" xfId="925" builtinId="8" hidden="1"/>
    <cellStyle name="Hipervínculo" xfId="77" builtinId="8" hidden="1"/>
    <cellStyle name="Hipervínculo" xfId="357" builtinId="8" hidden="1"/>
    <cellStyle name="Hipervínculo" xfId="919" builtinId="8" hidden="1"/>
    <cellStyle name="Hipervínculo" xfId="689" builtinId="8" hidden="1"/>
    <cellStyle name="Hipervínculo" xfId="53" builtinId="8" hidden="1"/>
    <cellStyle name="Hipervínculo" xfId="107" builtinId="8" hidden="1"/>
    <cellStyle name="Hipervínculo" xfId="1017" builtinId="8" hidden="1"/>
    <cellStyle name="Hipervínculo" xfId="441" builtinId="8" hidden="1"/>
    <cellStyle name="Hipervínculo" xfId="985" builtinId="8" hidden="1"/>
    <cellStyle name="Hipervínculo" xfId="1069" builtinId="8" hidden="1"/>
    <cellStyle name="Hipervínculo" xfId="807" builtinId="8" hidden="1"/>
    <cellStyle name="Hipervínculo" xfId="503" builtinId="8" hidden="1"/>
    <cellStyle name="Hipervínculo" xfId="189" builtinId="8" hidden="1"/>
    <cellStyle name="Hipervínculo" xfId="21" builtinId="8" hidden="1"/>
    <cellStyle name="Hipervínculo" xfId="313" builtinId="8" hidden="1"/>
    <cellStyle name="Hipervínculo" xfId="147" builtinId="8" hidden="1"/>
    <cellStyle name="Hipervínculo" xfId="431" builtinId="8" hidden="1"/>
    <cellStyle name="Hipervínculo" xfId="945" builtinId="8" hidden="1"/>
    <cellStyle name="Hipervínculo" xfId="141" builtinId="8" hidden="1"/>
    <cellStyle name="Hipervínculo" xfId="81" builtinId="8" hidden="1"/>
    <cellStyle name="Hipervínculo" xfId="65" builtinId="8" hidden="1"/>
    <cellStyle name="Hipervínculo" xfId="281" builtinId="8" hidden="1"/>
    <cellStyle name="Hipervínculo" xfId="789" builtinId="8" hidden="1"/>
    <cellStyle name="Hipervínculo" xfId="173" builtinId="8" hidden="1"/>
    <cellStyle name="Hipervínculo" xfId="17" builtinId="8" hidden="1"/>
    <cellStyle name="Hipervínculo" xfId="739" builtinId="8" hidden="1"/>
    <cellStyle name="Hipervínculo" xfId="175" builtinId="8" hidden="1"/>
    <cellStyle name="Hipervínculo" xfId="279" builtinId="8" hidden="1"/>
    <cellStyle name="Hipervínculo" xfId="803" builtinId="8" hidden="1"/>
    <cellStyle name="Hipervínculo" xfId="777" builtinId="8" hidden="1"/>
    <cellStyle name="Hipervínculo" xfId="295" builtinId="8" hidden="1"/>
    <cellStyle name="Hipervínculo" xfId="221" builtinId="8" hidden="1"/>
    <cellStyle name="Hipervínculo" xfId="605" builtinId="8" hidden="1"/>
    <cellStyle name="Hipervínculo" xfId="267" builtinId="8" hidden="1"/>
    <cellStyle name="Hipervínculo" xfId="915" builtinId="8" hidden="1"/>
    <cellStyle name="Hipervínculo" xfId="937" builtinId="8" hidden="1"/>
    <cellStyle name="Hipervínculo" xfId="627" builtinId="8" hidden="1"/>
    <cellStyle name="Hipervínculo" xfId="517" builtinId="8" hidden="1"/>
    <cellStyle name="Hipervínculo" xfId="51" builtinId="8" hidden="1"/>
    <cellStyle name="Hipervínculo" xfId="537" builtinId="8" hidden="1"/>
    <cellStyle name="Hipervínculo" xfId="417" builtinId="8" hidden="1"/>
    <cellStyle name="Hipervínculo" xfId="753" builtinId="8" hidden="1"/>
    <cellStyle name="Hipervínculo" xfId="273" builtinId="8" hidden="1"/>
    <cellStyle name="Hipervínculo" xfId="831" builtinId="8" hidden="1"/>
    <cellStyle name="Hipervínculo" xfId="159" builtinId="8" hidden="1"/>
    <cellStyle name="Hipervínculo" xfId="521" builtinId="8" hidden="1"/>
    <cellStyle name="Hipervínculo" xfId="631" builtinId="8" hidden="1"/>
    <cellStyle name="Hipervínculo" xfId="613" builtinId="8" hidden="1"/>
    <cellStyle name="Hipervínculo" xfId="779" builtinId="8" hidden="1"/>
    <cellStyle name="Hipervínculo" xfId="457" builtinId="8" hidden="1"/>
    <cellStyle name="Hipervínculo" xfId="317" builtinId="8" hidden="1"/>
    <cellStyle name="Hipervínculo" xfId="487" builtinId="8" hidden="1"/>
    <cellStyle name="Hipervínculo" xfId="659" builtinId="8" hidden="1"/>
    <cellStyle name="Hipervínculo" xfId="867" builtinId="8" hidden="1"/>
    <cellStyle name="Hipervínculo" xfId="577" builtinId="8" hidden="1"/>
    <cellStyle name="Hipervínculo" xfId="1089" builtinId="8" hidden="1"/>
    <cellStyle name="Hipervínculo" xfId="63" builtinId="8" hidden="1"/>
    <cellStyle name="Hipervínculo" xfId="1039" builtinId="8" hidden="1"/>
    <cellStyle name="Hipervínculo" xfId="143" builtinId="8" hidden="1"/>
    <cellStyle name="Hipervínculo" xfId="471" builtinId="8" hidden="1"/>
    <cellStyle name="Hipervínculo" xfId="299" builtinId="8" hidden="1"/>
    <cellStyle name="Hipervínculo" xfId="881" builtinId="8" hidden="1"/>
    <cellStyle name="Hipervínculo" xfId="89" builtinId="8" hidden="1"/>
    <cellStyle name="Hipervínculo" xfId="917" builtinId="8" hidden="1"/>
    <cellStyle name="Hipervínculo" xfId="87" builtinId="8" hidden="1"/>
    <cellStyle name="Hipervínculo" xfId="265" builtinId="8" hidden="1"/>
    <cellStyle name="Hipervínculo" xfId="129" builtinId="8" hidden="1"/>
    <cellStyle name="Hipervínculo" xfId="947" builtinId="8" hidden="1"/>
    <cellStyle name="Hipervínculo" xfId="607" builtinId="8" hidden="1"/>
    <cellStyle name="Hipervínculo" xfId="839" builtinId="8" hidden="1"/>
    <cellStyle name="Hipervínculo" xfId="385" builtinId="8" hidden="1"/>
    <cellStyle name="Hipervínculo" xfId="885" builtinId="8" hidden="1"/>
    <cellStyle name="Hipervínculo" xfId="869" builtinId="8" hidden="1"/>
    <cellStyle name="Hipervínculo" xfId="889" builtinId="8" hidden="1"/>
    <cellStyle name="Hipervínculo" xfId="289" builtinId="8" hidden="1"/>
    <cellStyle name="Hipervínculo" xfId="547" builtinId="8" hidden="1"/>
    <cellStyle name="Hipervínculo" xfId="619" builtinId="8" hidden="1"/>
    <cellStyle name="Hipervínculo" xfId="875" builtinId="8" hidden="1"/>
    <cellStyle name="Hipervínculo" xfId="721" builtinId="8" hidden="1"/>
    <cellStyle name="Hipervínculo" xfId="27" builtinId="8" hidden="1"/>
    <cellStyle name="Hipervínculo" xfId="1053" builtinId="8" hidden="1"/>
    <cellStyle name="Hipervínculo" xfId="1085" builtinId="8" hidden="1"/>
    <cellStyle name="Hipervínculo" xfId="373" builtinId="8" hidden="1"/>
    <cellStyle name="Hipervínculo" xfId="71" builtinId="8" hidden="1"/>
    <cellStyle name="Hipervínculo" xfId="989" builtinId="8" hidden="1"/>
    <cellStyle name="Hipervínculo" xfId="991" builtinId="8" hidden="1"/>
    <cellStyle name="Hipervínculo" xfId="121" builtinId="8" hidden="1"/>
    <cellStyle name="Hipervínculo" xfId="291" builtinId="8" hidden="1"/>
    <cellStyle name="Hipervínculo" xfId="827" builtinId="8" hidden="1"/>
    <cellStyle name="Hipervínculo" xfId="811" builtinId="8" hidden="1"/>
    <cellStyle name="Hipervínculo" xfId="343" builtinId="8" hidden="1"/>
    <cellStyle name="Hipervínculo" xfId="857" builtinId="8" hidden="1"/>
    <cellStyle name="Hipervínculo" xfId="681" builtinId="8" hidden="1"/>
    <cellStyle name="Hipervínculo" xfId="1073" builtinId="8" hidden="1"/>
    <cellStyle name="Hipervínculo" xfId="423" builtinId="8" hidden="1"/>
    <cellStyle name="Hipervínculo" xfId="497" builtinId="8" hidden="1"/>
    <cellStyle name="Hipervínculo" xfId="333" builtinId="8" hidden="1"/>
    <cellStyle name="Hipervínculo" xfId="303" builtinId="8" hidden="1"/>
    <cellStyle name="Hipervínculo" xfId="569" builtinId="8" hidden="1"/>
    <cellStyle name="Hipervínculo" xfId="55" builtinId="8" hidden="1"/>
    <cellStyle name="Hipervínculo" xfId="341" builtinId="8" hidden="1"/>
    <cellStyle name="Hipervínculo" xfId="923" builtinId="8" hidden="1"/>
    <cellStyle name="Hipervínculo" xfId="297" builtinId="8" hidden="1"/>
    <cellStyle name="Hipervínculo" xfId="507" builtinId="8" hidden="1"/>
    <cellStyle name="Hipervínculo" xfId="481" builtinId="8" hidden="1"/>
    <cellStyle name="Hipervínculo" xfId="637" builtinId="8" hidden="1"/>
    <cellStyle name="Hipervínculo" xfId="1059" builtinId="8" hidden="1"/>
    <cellStyle name="Hipervínculo" xfId="199" builtinId="8" hidden="1"/>
    <cellStyle name="Hipervínculo" xfId="499" builtinId="8" hidden="1"/>
    <cellStyle name="Hipervínculo" xfId="549" builtinId="8" hidden="1"/>
    <cellStyle name="Hipervínculo" xfId="1015" builtinId="8" hidden="1"/>
    <cellStyle name="Hipervínculo" xfId="429" builtinId="8" hidden="1"/>
    <cellStyle name="Hipervínculo" xfId="79" builtinId="8" hidden="1"/>
    <cellStyle name="Hipervínculo" xfId="391" builtinId="8" hidden="1"/>
    <cellStyle name="Hipervínculo" xfId="395" builtinId="8" hidden="1"/>
    <cellStyle name="Hipervínculo" xfId="787" builtinId="8" hidden="1"/>
    <cellStyle name="Hipervínculo" xfId="181" builtinId="8" hidden="1"/>
    <cellStyle name="Hipervínculo" xfId="5" builtinId="8" hidden="1"/>
    <cellStyle name="Hipervínculo" xfId="873" builtinId="8" hidden="1"/>
    <cellStyle name="Hipervínculo" xfId="575" builtinId="8" hidden="1"/>
    <cellStyle name="Hipervínculo" xfId="305" builtinId="8" hidden="1"/>
    <cellStyle name="Hipervínculo" xfId="401" builtinId="8" hidden="1"/>
    <cellStyle name="Hipervínculo" xfId="485" builtinId="8" hidden="1"/>
    <cellStyle name="Hipervínculo" xfId="377" builtinId="8" hidden="1"/>
    <cellStyle name="Hipervínculo" xfId="767" builtinId="8" hidden="1"/>
    <cellStyle name="Hipervínculo" xfId="43" builtinId="8" hidden="1"/>
    <cellStyle name="Hipervínculo" xfId="203" builtinId="8" hidden="1"/>
    <cellStyle name="Hipervínculo" xfId="837" builtinId="8" hidden="1"/>
    <cellStyle name="Hipervínculo" xfId="797" builtinId="8" hidden="1"/>
    <cellStyle name="Hipervínculo" xfId="323" builtinId="8" hidden="1"/>
    <cellStyle name="Hipervínculo" xfId="677" builtinId="8" hidden="1"/>
    <cellStyle name="Hipervínculo" xfId="531" builtinId="8" hidden="1"/>
    <cellStyle name="Hipervínculo" xfId="359" builtinId="8" hidden="1"/>
    <cellStyle name="Hipervínculo" xfId="895" builtinId="8" hidden="1"/>
    <cellStyle name="Hipervínculo" xfId="849" builtinId="8" hidden="1"/>
    <cellStyle name="Hipervínculo" xfId="127" builtinId="8" hidden="1"/>
    <cellStyle name="Hipervínculo" xfId="69" builtinId="8" hidden="1"/>
    <cellStyle name="Hipervínculo" xfId="899" builtinId="8" hidden="1"/>
    <cellStyle name="Hipervínculo" xfId="893" builtinId="8" hidden="1"/>
    <cellStyle name="Hipervínculo" xfId="49" builtinId="8" hidden="1"/>
    <cellStyle name="Hipervínculo" xfId="835" builtinId="8" hidden="1"/>
    <cellStyle name="Hipervínculo" xfId="973" builtinId="8" hidden="1"/>
    <cellStyle name="Hipervínculo" xfId="667" builtinId="8" hidden="1"/>
    <cellStyle name="Hipervínculo" xfId="1029" builtinId="8" hidden="1"/>
    <cellStyle name="Hipervínculo" xfId="741" builtinId="8" hidden="1"/>
    <cellStyle name="Hipervínculo" xfId="825" builtinId="8" hidden="1"/>
    <cellStyle name="Hipervínculo" xfId="33" builtinId="8" hidden="1"/>
    <cellStyle name="Hipervínculo" xfId="1045" builtinId="8" hidden="1"/>
    <cellStyle name="Hipervínculo" xfId="821" builtinId="8" hidden="1"/>
    <cellStyle name="Hipervínculo" xfId="15" builtinId="8" hidden="1"/>
    <cellStyle name="Hipervínculo" xfId="715" builtinId="8" hidden="1"/>
    <cellStyle name="Hipervínculo" xfId="215" builtinId="8" hidden="1"/>
    <cellStyle name="Hipervínculo" xfId="757" builtinId="8" hidden="1"/>
    <cellStyle name="Hipervínculo" xfId="407" builtinId="8" hidden="1"/>
    <cellStyle name="Hipervínculo" xfId="1067" builtinId="8" hidden="1"/>
    <cellStyle name="Hipervínculo" xfId="955" builtinId="8" hidden="1"/>
    <cellStyle name="Hipervínculo" xfId="451" builtinId="8" hidden="1"/>
    <cellStyle name="Hipervínculo" xfId="335" builtinId="8" hidden="1"/>
    <cellStyle name="Hipervínculo" xfId="1009" builtinId="8" hidden="1"/>
    <cellStyle name="Hipervínculo" xfId="801" builtinId="8" hidden="1"/>
    <cellStyle name="Hipervínculo" xfId="941" builtinId="8" hidden="1"/>
    <cellStyle name="Hipervínculo" xfId="999" builtinId="8" hidden="1"/>
    <cellStyle name="Hipervínculo" xfId="983" builtinId="8" hidden="1"/>
    <cellStyle name="Hipervínculo" xfId="871" builtinId="8" hidden="1"/>
    <cellStyle name="Hipervínculo" xfId="311" builtinId="8" hidden="1"/>
    <cellStyle name="Hipervínculo" xfId="163" builtinId="8" hidden="1"/>
    <cellStyle name="Hipervínculo" xfId="707" builtinId="8" hidden="1"/>
    <cellStyle name="Hipervínculo" xfId="113" builtinId="8" hidden="1"/>
    <cellStyle name="Hipervínculo" xfId="509" builtinId="8" hidden="1"/>
    <cellStyle name="Hipervínculo" xfId="723" builtinId="8" hidden="1"/>
    <cellStyle name="Hipervínculo" xfId="939" builtinId="8" hidden="1"/>
    <cellStyle name="Hipervínculo" xfId="1041" builtinId="8" hidden="1"/>
    <cellStyle name="Hipervínculo" xfId="713" builtinId="8" hidden="1"/>
    <cellStyle name="Hipervínculo" xfId="35" builtinId="8" hidden="1"/>
    <cellStyle name="Hipervínculo" xfId="315" builtinId="8" hidden="1"/>
    <cellStyle name="Hipervínculo" xfId="219" builtinId="8" hidden="1"/>
    <cellStyle name="Hipervínculo" xfId="931" builtinId="8" hidden="1"/>
    <cellStyle name="Hipervínculo" xfId="519" builtinId="8" hidden="1"/>
    <cellStyle name="Hipervínculo" xfId="249" builtinId="8" hidden="1"/>
    <cellStyle name="Hipervínculo" xfId="933" builtinId="8" hidden="1"/>
    <cellStyle name="Hipervínculo" xfId="545" builtinId="8" hidden="1"/>
    <cellStyle name="Hipervínculo" xfId="829" builtinId="8" hidden="1"/>
    <cellStyle name="Hipervínculo" xfId="683" builtinId="8" hidden="1"/>
    <cellStyle name="Hipervínculo" xfId="9" builtinId="8" hidden="1"/>
    <cellStyle name="Hipervínculo" xfId="629" builtinId="8" hidden="1"/>
    <cellStyle name="Hipervínculo" xfId="191" builtinId="8" hidden="1"/>
    <cellStyle name="Hipervínculo" xfId="285" builtinId="8" hidden="1"/>
    <cellStyle name="Hipervínculo" xfId="179" builtinId="8" hidden="1"/>
    <cellStyle name="Hipervínculo" xfId="553" builtinId="8" hidden="1"/>
    <cellStyle name="Hipervínculo" xfId="67" builtinId="8" hidden="1"/>
    <cellStyle name="Hipervínculo" xfId="1007" builtinId="8" hidden="1"/>
    <cellStyle name="Hipervínculo" xfId="719" builtinId="8" hidden="1"/>
    <cellStyle name="Hipervínculo" xfId="773" builtinId="8" hidden="1"/>
    <cellStyle name="Hipervínculo" xfId="449" builtinId="8" hidden="1"/>
    <cellStyle name="Hipervínculo" xfId="479" builtinId="8" hidden="1"/>
    <cellStyle name="Hipervínculo" xfId="727" builtinId="8" hidden="1"/>
    <cellStyle name="Hipervínculo" xfId="795" builtinId="8" hidden="1"/>
    <cellStyle name="Hipervínculo" xfId="145" builtinId="8" hidden="1"/>
    <cellStyle name="Hipervínculo" xfId="185" builtinId="8" hidden="1"/>
    <cellStyle name="Hipervínculo" xfId="935" builtinId="8" hidden="1"/>
    <cellStyle name="Hipervínculo" xfId="105" builtinId="8" hidden="1"/>
    <cellStyle name="Hipervínculo" xfId="761" builtinId="8" hidden="1"/>
    <cellStyle name="Hipervínculo" xfId="765" builtinId="8" hidden="1"/>
    <cellStyle name="Hipervínculo visitado" xfId="692" builtinId="9" hidden="1"/>
    <cellStyle name="Hipervínculo visitado" xfId="102" builtinId="9" hidden="1"/>
    <cellStyle name="Hipervínculo visitado" xfId="258" builtinId="9" hidden="1"/>
    <cellStyle name="Hipervínculo visitado" xfId="424" builtinId="9" hidden="1"/>
    <cellStyle name="Hipervínculo visitado" xfId="1010" builtinId="9" hidden="1"/>
    <cellStyle name="Hipervínculo visitado" xfId="106" builtinId="9" hidden="1"/>
    <cellStyle name="Hipervínculo visitado" xfId="562" builtinId="9" hidden="1"/>
    <cellStyle name="Hipervínculo visitado" xfId="50" builtinId="9" hidden="1"/>
    <cellStyle name="Hipervínculo visitado" xfId="636" builtinId="9" hidden="1"/>
    <cellStyle name="Hipervínculo visitado" xfId="940" builtinId="9" hidden="1"/>
    <cellStyle name="Hipervínculo visitado" xfId="1056" builtinId="9" hidden="1"/>
    <cellStyle name="Hipervínculo visitado" xfId="1016" builtinId="9" hidden="1"/>
    <cellStyle name="Hipervínculo visitado" xfId="1020" builtinId="9" hidden="1"/>
    <cellStyle name="Hipervínculo visitado" xfId="884" builtinId="9" hidden="1"/>
    <cellStyle name="Hipervínculo visitado" xfId="548" builtinId="9" hidden="1"/>
    <cellStyle name="Hipervínculo visitado" xfId="352" builtinId="9" hidden="1"/>
    <cellStyle name="Hipervínculo visitado" xfId="842" builtinId="9" hidden="1"/>
    <cellStyle name="Hipervínculo visitado" xfId="900" builtinId="9" hidden="1"/>
    <cellStyle name="Hipervínculo visitado" xfId="942" builtinId="9" hidden="1"/>
    <cellStyle name="Hipervínculo visitado" xfId="930" builtinId="9" hidden="1"/>
    <cellStyle name="Hipervínculo visitado" xfId="1014" builtinId="9" hidden="1"/>
    <cellStyle name="Hipervínculo visitado" xfId="818" builtinId="9" hidden="1"/>
    <cellStyle name="Hipervínculo visitado" xfId="854" builtinId="9" hidden="1"/>
    <cellStyle name="Hipervínculo visitado" xfId="824" builtinId="9" hidden="1"/>
    <cellStyle name="Hipervínculo visitado" xfId="770" builtinId="9" hidden="1"/>
    <cellStyle name="Hipervínculo visitado" xfId="314" builtinId="9" hidden="1"/>
    <cellStyle name="Hipervínculo visitado" xfId="640" builtinId="9" hidden="1"/>
    <cellStyle name="Hipervínculo visitado" xfId="962" builtinId="9" hidden="1"/>
    <cellStyle name="Hipervínculo visitado" xfId="486" builtinId="9" hidden="1"/>
    <cellStyle name="Hipervínculo visitado" xfId="910" builtinId="9" hidden="1"/>
    <cellStyle name="Hipervínculo visitado" xfId="896" builtinId="9" hidden="1"/>
    <cellStyle name="Hipervínculo visitado" xfId="336" builtinId="9" hidden="1"/>
    <cellStyle name="Hipervínculo visitado" xfId="934" builtinId="9" hidden="1"/>
    <cellStyle name="Hipervínculo visitado" xfId="1082" builtinId="9" hidden="1"/>
    <cellStyle name="Hipervínculo visitado" xfId="1042" builtinId="9" hidden="1"/>
    <cellStyle name="Hipervínculo visitado" xfId="1004" builtinId="9" hidden="1"/>
    <cellStyle name="Hipervínculo visitado" xfId="324" builtinId="9" hidden="1"/>
    <cellStyle name="Hipervínculo visitado" xfId="858" builtinId="9" hidden="1"/>
    <cellStyle name="Hipervínculo visitado" xfId="502" builtinId="9" hidden="1"/>
    <cellStyle name="Hipervínculo visitado" xfId="1086" builtinId="9" hidden="1"/>
    <cellStyle name="Hipervínculo visitado" xfId="1058" builtinId="9" hidden="1"/>
    <cellStyle name="Hipervínculo visitado" xfId="932" builtinId="9" hidden="1"/>
    <cellStyle name="Hipervínculo visitado" xfId="864" builtinId="9" hidden="1"/>
    <cellStyle name="Hipervínculo visitado" xfId="586" builtinId="9" hidden="1"/>
    <cellStyle name="Hipervínculo visitado" xfId="964" builtinId="9" hidden="1"/>
    <cellStyle name="Hipervínculo visitado" xfId="972" builtinId="9" hidden="1"/>
    <cellStyle name="Hipervínculo visitado" xfId="1046" builtinId="9" hidden="1"/>
    <cellStyle name="Hipervínculo visitado" xfId="146" builtinId="9" hidden="1"/>
    <cellStyle name="Hipervínculo visitado" xfId="360" builtinId="9" hidden="1"/>
    <cellStyle name="Hipervínculo visitado" xfId="1040" builtinId="9" hidden="1"/>
    <cellStyle name="Hipervínculo visitado" xfId="446" builtinId="9" hidden="1"/>
    <cellStyle name="Hipervínculo visitado" xfId="622" builtinId="9" hidden="1"/>
    <cellStyle name="Hipervínculo visitado" xfId="826" builtinId="9" hidden="1"/>
    <cellStyle name="Hipervínculo visitado" xfId="286" builtinId="9" hidden="1"/>
    <cellStyle name="Hipervínculo visitado" xfId="30" builtinId="9" hidden="1"/>
    <cellStyle name="Hipervínculo visitado" xfId="74" builtinId="9" hidden="1"/>
    <cellStyle name="Hipervínculo visitado" xfId="380" builtinId="9" hidden="1"/>
    <cellStyle name="Hipervínculo visitado" xfId="1060" builtinId="9" hidden="1"/>
    <cellStyle name="Hipervínculo visitado" xfId="1038" builtinId="9" hidden="1"/>
    <cellStyle name="Hipervínculo visitado" xfId="732" builtinId="9" hidden="1"/>
    <cellStyle name="Hipervínculo visitado" xfId="366" builtinId="9" hidden="1"/>
    <cellStyle name="Hipervínculo visitado" xfId="1062" builtinId="9" hidden="1"/>
    <cellStyle name="Hipervínculo visitado" xfId="330" builtinId="9" hidden="1"/>
    <cellStyle name="Hipervínculo visitado" xfId="244" builtinId="9" hidden="1"/>
    <cellStyle name="Hipervínculo visitado" xfId="1036" builtinId="9" hidden="1"/>
    <cellStyle name="Hipervínculo visitado" xfId="306" builtinId="9" hidden="1"/>
    <cellStyle name="Hipervínculo visitado" xfId="86" builtinId="9" hidden="1"/>
    <cellStyle name="Hipervínculo visitado" xfId="252" builtinId="9" hidden="1"/>
    <cellStyle name="Hipervínculo visitado" xfId="998" builtinId="9" hidden="1"/>
    <cellStyle name="Hipervínculo visitado" xfId="416" builtinId="9" hidden="1"/>
    <cellStyle name="Hipervínculo visitado" xfId="750" builtinId="9" hidden="1"/>
    <cellStyle name="Hipervínculo visitado" xfId="438" builtinId="9" hidden="1"/>
    <cellStyle name="Hipervínculo visitado" xfId="606" builtinId="9" hidden="1"/>
    <cellStyle name="Hipervínculo visitado" xfId="848" builtinId="9" hidden="1"/>
    <cellStyle name="Hipervínculo visitado" xfId="1064" builtinId="9" hidden="1"/>
    <cellStyle name="Hipervínculo visitado" xfId="454" builtinId="9" hidden="1"/>
    <cellStyle name="Hipervínculo visitado" xfId="780" builtinId="9" hidden="1"/>
    <cellStyle name="Hipervínculo visitado" xfId="684" builtinId="9" hidden="1"/>
    <cellStyle name="Hipervínculo visitado" xfId="794" builtinId="9" hidden="1"/>
    <cellStyle name="Hipervínculo visitado" xfId="260" builtinId="9" hidden="1"/>
    <cellStyle name="Hipervínculo visitado" xfId="378" builtinId="9" hidden="1"/>
    <cellStyle name="Hipervínculo visitado" xfId="654" builtinId="9" hidden="1"/>
    <cellStyle name="Hipervínculo visitado" xfId="504" builtinId="9" hidden="1"/>
    <cellStyle name="Hipervínculo visitado" xfId="170" builtinId="9" hidden="1"/>
    <cellStyle name="Hipervínculo visitado" xfId="604" builtinId="9" hidden="1"/>
    <cellStyle name="Hipervínculo visitado" xfId="658" builtinId="9" hidden="1"/>
    <cellStyle name="Hipervínculo visitado" xfId="810" builtinId="9" hidden="1"/>
    <cellStyle name="Hipervínculo visitado" xfId="744" builtinId="9" hidden="1"/>
    <cellStyle name="Hipervínculo visitado" xfId="182" builtinId="9" hidden="1"/>
    <cellStyle name="Hipervínculo visitado" xfId="552" builtinId="9" hidden="1"/>
    <cellStyle name="Hipervínculo visitado" xfId="358" builtinId="9" hidden="1"/>
    <cellStyle name="Hipervínculo visitado" xfId="754" builtinId="9" hidden="1"/>
    <cellStyle name="Hipervínculo visitado" xfId="138" builtinId="9" hidden="1"/>
    <cellStyle name="Hipervínculo visitado" xfId="172" builtinId="9" hidden="1"/>
    <cellStyle name="Hipervínculo visitado" xfId="142" builtinId="9" hidden="1"/>
    <cellStyle name="Hipervínculo visitado" xfId="914" builtinId="9" hidden="1"/>
    <cellStyle name="Hipervínculo visitado" xfId="554" builtinId="9" hidden="1"/>
    <cellStyle name="Hipervínculo visitado" xfId="164" builtinId="9" hidden="1"/>
    <cellStyle name="Hipervínculo visitado" xfId="568" builtinId="9" hidden="1"/>
    <cellStyle name="Hipervínculo visitado" xfId="1088" builtinId="9" hidden="1"/>
    <cellStyle name="Hipervínculo visitado" xfId="254" builtinId="9" hidden="1"/>
    <cellStyle name="Hipervínculo visitado" xfId="752" builtinId="9" hidden="1"/>
    <cellStyle name="Hipervínculo visitado" xfId="546" builtinId="9" hidden="1"/>
    <cellStyle name="Hipervínculo visitado" xfId="230" builtinId="9" hidden="1"/>
    <cellStyle name="Hipervínculo visitado" xfId="796" builtinId="9" hidden="1"/>
    <cellStyle name="Hipervínculo visitado" xfId="242" builtinId="9" hidden="1"/>
    <cellStyle name="Hipervínculo visitado" xfId="530" builtinId="9" hidden="1"/>
    <cellStyle name="Hipervínculo visitado" xfId="1068" builtinId="9" hidden="1"/>
    <cellStyle name="Hipervínculo visitado" xfId="694" builtinId="9" hidden="1"/>
    <cellStyle name="Hipervínculo visitado" xfId="556" builtinId="9" hidden="1"/>
    <cellStyle name="Hipervínculo visitado" xfId="536" builtinId="9" hidden="1"/>
    <cellStyle name="Hipervínculo visitado" xfId="866" builtinId="9" hidden="1"/>
    <cellStyle name="Hipervínculo visitado" xfId="364" builtinId="9" hidden="1"/>
    <cellStyle name="Hipervínculo visitado" xfId="68" builtinId="9" hidden="1"/>
    <cellStyle name="Hipervínculo visitado" xfId="984" builtinId="9" hidden="1"/>
    <cellStyle name="Hipervínculo visitado" xfId="582" builtinId="9" hidden="1"/>
    <cellStyle name="Hipervínculo visitado" xfId="748" builtinId="9" hidden="1"/>
    <cellStyle name="Hipervínculo visitado" xfId="56" builtinId="9" hidden="1"/>
    <cellStyle name="Hipervínculo visitado" xfId="6" builtinId="9" hidden="1"/>
    <cellStyle name="Hipervínculo visitado" xfId="916" builtinId="9" hidden="1"/>
    <cellStyle name="Hipervínculo visitado" xfId="222" builtinId="9" hidden="1"/>
    <cellStyle name="Hipervínculo visitado" xfId="246" builtinId="9" hidden="1"/>
    <cellStyle name="Hipervínculo visitado" xfId="742" builtinId="9" hidden="1"/>
    <cellStyle name="Hipervínculo visitado" xfId="176" builtinId="9" hidden="1"/>
    <cellStyle name="Hipervínculo visitado" xfId="624" builtinId="9" hidden="1"/>
    <cellStyle name="Hipervínculo visitado" xfId="368" builtinId="9" hidden="1"/>
    <cellStyle name="Hipervínculo visitado" xfId="804" builtinId="9" hidden="1"/>
    <cellStyle name="Hipervínculo visitado" xfId="450" builtinId="9" hidden="1"/>
    <cellStyle name="Hipervínculo visitado" xfId="10" builtinId="9" hidden="1"/>
    <cellStyle name="Hipervínculo visitado" xfId="1012" builtinId="9" hidden="1"/>
    <cellStyle name="Hipervínculo visitado" xfId="468" builtinId="9" hidden="1"/>
    <cellStyle name="Hipervínculo visitado" xfId="110" builtinId="9" hidden="1"/>
    <cellStyle name="Hipervínculo visitado" xfId="608" builtinId="9" hidden="1"/>
    <cellStyle name="Hipervínculo visitado" xfId="650" builtinId="9" hidden="1"/>
    <cellStyle name="Hipervínculo visitado" xfId="832" builtinId="9" hidden="1"/>
    <cellStyle name="Hipervínculo visitado" xfId="292" builtinId="9" hidden="1"/>
    <cellStyle name="Hipervínculo visitado" xfId="956" builtinId="9" hidden="1"/>
    <cellStyle name="Hipervínculo visitado" xfId="766" builtinId="9" hidden="1"/>
    <cellStyle name="Hipervínculo visitado" xfId="974" builtinId="9" hidden="1"/>
    <cellStyle name="Hipervínculo visitado" xfId="878" builtinId="9" hidden="1"/>
    <cellStyle name="Hipervínculo visitado" xfId="496" builtinId="9" hidden="1"/>
    <cellStyle name="Hipervínculo visitado" xfId="130" builtinId="9" hidden="1"/>
    <cellStyle name="Hipervínculo visitado" xfId="994" builtinId="9" hidden="1"/>
    <cellStyle name="Hipervínculo visitado" xfId="488" builtinId="9" hidden="1"/>
    <cellStyle name="Hipervínculo visitado" xfId="704" builtinId="9" hidden="1"/>
    <cellStyle name="Hipervínculo visitado" xfId="280" builtinId="9" hidden="1"/>
    <cellStyle name="Hipervínculo visitado" xfId="798" builtinId="9" hidden="1"/>
    <cellStyle name="Hipervínculo visitado" xfId="408" builtinId="9" hidden="1"/>
    <cellStyle name="Hipervínculo visitado" xfId="642" builtinId="9" hidden="1"/>
    <cellStyle name="Hipervínculo visitado" xfId="1026" builtinId="9" hidden="1"/>
    <cellStyle name="Hipervínculo visitado" xfId="518" builtinId="9" hidden="1"/>
    <cellStyle name="Hipervínculo visitado" xfId="686" builtinId="9" hidden="1"/>
    <cellStyle name="Hipervínculo visitado" xfId="432" builtinId="9" hidden="1"/>
    <cellStyle name="Hipervínculo visitado" xfId="202" builtinId="9" hidden="1"/>
    <cellStyle name="Hipervínculo visitado" xfId="736" builtinId="9" hidden="1"/>
    <cellStyle name="Hipervínculo visitado" xfId="34" builtinId="9" hidden="1"/>
    <cellStyle name="Hipervínculo visitado" xfId="912" builtinId="9" hidden="1"/>
    <cellStyle name="Hipervínculo visitado" xfId="44" builtinId="9" hidden="1"/>
    <cellStyle name="Hipervínculo visitado" xfId="634" builtinId="9" hidden="1"/>
    <cellStyle name="Hipervínculo visitado" xfId="560" builtinId="9" hidden="1"/>
    <cellStyle name="Hipervínculo visitado" xfId="224" builtinId="9" hidden="1"/>
    <cellStyle name="Hipervínculo visitado" xfId="318" builtinId="9" hidden="1"/>
    <cellStyle name="Hipervínculo visitado" xfId="834" builtinId="9" hidden="1"/>
    <cellStyle name="Hipervínculo visitado" xfId="240" builtinId="9" hidden="1"/>
    <cellStyle name="Hipervínculo visitado" xfId="72" builtinId="9" hidden="1"/>
    <cellStyle name="Hipervínculo visitado" xfId="760" builtinId="9" hidden="1"/>
    <cellStyle name="Hipervínculo visitado" xfId="630" builtinId="9" hidden="1"/>
    <cellStyle name="Hipervínculo visitado" xfId="178" builtinId="9" hidden="1"/>
    <cellStyle name="Hipervínculo visitado" xfId="516" builtinId="9" hidden="1"/>
    <cellStyle name="Hipervínculo visitado" xfId="660" builtinId="9" hidden="1"/>
    <cellStyle name="Hipervínculo visitado" xfId="638" builtinId="9" hidden="1"/>
    <cellStyle name="Hipervínculo visitado" xfId="574" builtinId="9" hidden="1"/>
    <cellStyle name="Hipervínculo visitado" xfId="594" builtinId="9" hidden="1"/>
    <cellStyle name="Hipervínculo visitado" xfId="402" builtinId="9" hidden="1"/>
    <cellStyle name="Hipervínculo visitado" xfId="542" builtinId="9" hidden="1"/>
    <cellStyle name="Hipervínculo visitado" xfId="174" builtinId="9" hidden="1"/>
    <cellStyle name="Hipervínculo visitado" xfId="946" builtinId="9" hidden="1"/>
    <cellStyle name="Hipervínculo visitado" xfId="922" builtinId="9" hidden="1"/>
    <cellStyle name="Hipervínculo visitado" xfId="924" builtinId="9" hidden="1"/>
    <cellStyle name="Hipervínculo visitado" xfId="1002" builtinId="9" hidden="1"/>
    <cellStyle name="Hipervínculo visitado" xfId="1076" builtinId="9" hidden="1"/>
    <cellStyle name="Hipervínculo visitado" xfId="248" builtinId="9" hidden="1"/>
    <cellStyle name="Hipervínculo visitado" xfId="14" builtinId="9" hidden="1"/>
    <cellStyle name="Hipervínculo visitado" xfId="16" builtinId="9" hidden="1"/>
    <cellStyle name="Hipervínculo visitado" xfId="688" builtinId="9" hidden="1"/>
    <cellStyle name="Hipervínculo visitado" xfId="296" builtinId="9" hidden="1"/>
    <cellStyle name="Hipervínculo visitado" xfId="534" builtinId="9" hidden="1"/>
    <cellStyle name="Hipervínculo visitado" xfId="646" builtinId="9" hidden="1"/>
    <cellStyle name="Hipervínculo visitado" xfId="960" builtinId="9" hidden="1"/>
    <cellStyle name="Hipervínculo visitado" xfId="734" builtinId="9" hidden="1"/>
    <cellStyle name="Hipervínculo visitado" xfId="136" builtinId="9" hidden="1"/>
    <cellStyle name="Hipervínculo visitado" xfId="386" builtinId="9" hidden="1"/>
    <cellStyle name="Hipervínculo visitado" xfId="448" builtinId="9" hidden="1"/>
    <cellStyle name="Hipervínculo visitado" xfId="522" builtinId="9" hidden="1"/>
    <cellStyle name="Hipervínculo visitado" xfId="724" builtinId="9" hidden="1"/>
    <cellStyle name="Hipervínculo visitado" xfId="726" builtinId="9" hidden="1"/>
    <cellStyle name="Hipervínculo visitado" xfId="948" builtinId="9" hidden="1"/>
    <cellStyle name="Hipervínculo visitado" xfId="160" builtinId="9" hidden="1"/>
    <cellStyle name="Hipervínculo visitado" xfId="838" builtinId="9" hidden="1"/>
    <cellStyle name="Hipervínculo visitado" xfId="526" builtinId="9" hidden="1"/>
    <cellStyle name="Hipervínculo visitado" xfId="968" builtinId="9" hidden="1"/>
    <cellStyle name="Hipervínculo visitado" xfId="452" builtinId="9" hidden="1"/>
    <cellStyle name="Hipervínculo visitado" xfId="908" builtinId="9" hidden="1"/>
    <cellStyle name="Hipervínculo visitado" xfId="672" builtinId="9" hidden="1"/>
    <cellStyle name="Hipervínculo visitado" xfId="90" builtinId="9" hidden="1"/>
    <cellStyle name="Hipervínculo visitado" xfId="20" builtinId="9" hidden="1"/>
    <cellStyle name="Hipervínculo visitado" xfId="996" builtinId="9" hidden="1"/>
    <cellStyle name="Hipervínculo visitado" xfId="38" builtinId="9" hidden="1"/>
    <cellStyle name="Hipervínculo visitado" xfId="42" builtinId="9" hidden="1"/>
    <cellStyle name="Hipervínculo visitado" xfId="370" builtinId="9" hidden="1"/>
    <cellStyle name="Hipervínculo visitado" xfId="668" builtinId="9" hidden="1"/>
    <cellStyle name="Hipervínculo visitado" xfId="1024" builtinId="9" hidden="1"/>
    <cellStyle name="Hipervínculo visitado" xfId="852" builtinId="9" hidden="1"/>
    <cellStyle name="Hipervínculo visitado" xfId="322" builtinId="9" hidden="1"/>
    <cellStyle name="Hipervínculo visitado" xfId="512" builtinId="9" hidden="1"/>
    <cellStyle name="Hipervínculo visitado" xfId="384" builtinId="9" hidden="1"/>
    <cellStyle name="Hipervínculo visitado" xfId="92" builtinId="9" hidden="1"/>
    <cellStyle name="Hipervínculo visitado" xfId="80" builtinId="9" hidden="1"/>
    <cellStyle name="Hipervínculo visitado" xfId="374" builtinId="9" hidden="1"/>
    <cellStyle name="Hipervínculo visitado" xfId="94" builtinId="9" hidden="1"/>
    <cellStyle name="Hipervínculo visitado" xfId="294" builtinId="9" hidden="1"/>
    <cellStyle name="Hipervínculo visitado" xfId="334" builtinId="9" hidden="1"/>
    <cellStyle name="Hipervínculo visitado" xfId="570" builtinId="9" hidden="1"/>
    <cellStyle name="Hipervínculo visitado" xfId="300" builtinId="9" hidden="1"/>
    <cellStyle name="Hipervínculo visitado" xfId="238" builtinId="9" hidden="1"/>
    <cellStyle name="Hipervínculo visitado" xfId="802" builtinId="9" hidden="1"/>
    <cellStyle name="Hipervínculo visitado" xfId="1018" builtinId="9" hidden="1"/>
    <cellStyle name="Hipervínculo visitado" xfId="656" builtinId="9" hidden="1"/>
    <cellStyle name="Hipervínculo visitado" xfId="114" builtinId="9" hidden="1"/>
    <cellStyle name="Hipervínculo visitado" xfId="1030" builtinId="9" hidden="1"/>
    <cellStyle name="Hipervínculo visitado" xfId="758" builtinId="9" hidden="1"/>
    <cellStyle name="Hipervínculo visitado" xfId="304" builtinId="9" hidden="1"/>
    <cellStyle name="Hipervínculo visitado" xfId="382" builtinId="9" hidden="1"/>
    <cellStyle name="Hipervínculo visitado" xfId="830" builtinId="9" hidden="1"/>
    <cellStyle name="Hipervínculo visitado" xfId="350" builtinId="9" hidden="1"/>
    <cellStyle name="Hipervínculo visitado" xfId="84" builtinId="9" hidden="1"/>
    <cellStyle name="Hipervínculo visitado" xfId="18" builtinId="9" hidden="1"/>
    <cellStyle name="Hipervínculo visitado" xfId="66" builtinId="9" hidden="1"/>
    <cellStyle name="Hipervínculo visitado" xfId="846" builtinId="9" hidden="1"/>
    <cellStyle name="Hipervínculo visitado" xfId="162" builtinId="9" hidden="1"/>
    <cellStyle name="Hipervínculo visitado" xfId="814" builtinId="9" hidden="1"/>
    <cellStyle name="Hipervínculo visitado" xfId="340" builtinId="9" hidden="1"/>
    <cellStyle name="Hipervínculo visitado" xfId="36" builtinId="9" hidden="1"/>
    <cellStyle name="Hipervínculo visitado" xfId="1052" builtinId="9" hidden="1"/>
    <cellStyle name="Hipervínculo visitado" xfId="8" builtinId="9" hidden="1"/>
    <cellStyle name="Hipervínculo visitado" xfId="22" builtinId="9" hidden="1"/>
    <cellStyle name="Hipervínculo visitado" xfId="104" builtinId="9" hidden="1"/>
    <cellStyle name="Hipervínculo visitado" xfId="82" builtinId="9" hidden="1"/>
    <cellStyle name="Hipervínculo visitado" xfId="346" builtinId="9" hidden="1"/>
    <cellStyle name="Hipervínculo visitado" xfId="872" builtinId="9" hidden="1"/>
    <cellStyle name="Hipervínculo visitado" xfId="148" builtinId="9" hidden="1"/>
    <cellStyle name="Hipervínculo visitado" xfId="116" builtinId="9" hidden="1"/>
    <cellStyle name="Hipervínculo visitado" xfId="124" builtinId="9" hidden="1"/>
    <cellStyle name="Hipervínculo visitado" xfId="70" builtinId="9" hidden="1"/>
    <cellStyle name="Hipervínculo visitado" xfId="970" builtinId="9" hidden="1"/>
    <cellStyle name="Hipervínculo visitado" xfId="578" builtinId="9" hidden="1"/>
    <cellStyle name="Hipervínculo visitado" xfId="862" builtinId="9" hidden="1"/>
    <cellStyle name="Hipervínculo visitado" xfId="64" builtinId="9" hidden="1"/>
    <cellStyle name="Hipervínculo visitado" xfId="428" builtinId="9" hidden="1"/>
    <cellStyle name="Hipervínculo visitado" xfId="978" builtinId="9" hidden="1"/>
    <cellStyle name="Hipervínculo visitado" xfId="728" builtinId="9" hidden="1"/>
    <cellStyle name="Hipervínculo visitado" xfId="302" builtinId="9" hidden="1"/>
    <cellStyle name="Hipervínculo visitado" xfId="236" builtinId="9" hidden="1"/>
    <cellStyle name="Hipervínculo visitado" xfId="764" builtinId="9" hidden="1"/>
    <cellStyle name="Hipervínculo visitado" xfId="426" builtinId="9" hidden="1"/>
    <cellStyle name="Hipervínculo visitado" xfId="484" builtinId="9" hidden="1"/>
    <cellStyle name="Hipervínculo visitado" xfId="2" builtinId="9" hidden="1"/>
    <cellStyle name="Hipervínculo visitado" xfId="890" builtinId="9" hidden="1"/>
    <cellStyle name="Hipervínculo visitado" xfId="24" builtinId="9" hidden="1"/>
    <cellStyle name="Hipervínculo visitado" xfId="60" builtinId="9" hidden="1"/>
    <cellStyle name="Hipervínculo visitado" xfId="392" builtinId="9" hidden="1"/>
    <cellStyle name="Hipervínculo visitado" xfId="196" builtinId="9" hidden="1"/>
    <cellStyle name="Hipervínculo visitado" xfId="870" builtinId="9" hidden="1"/>
    <cellStyle name="Hipervínculo visitado" xfId="26" builtinId="9" hidden="1"/>
    <cellStyle name="Hipervínculo visitado" xfId="740" builtinId="9" hidden="1"/>
    <cellStyle name="Hipervínculo visitado" xfId="822" builtinId="9" hidden="1"/>
    <cellStyle name="Hipervínculo visitado" xfId="708" builtinId="9" hidden="1"/>
    <cellStyle name="Hipervínculo visitado" xfId="58" builtinId="9" hidden="1"/>
    <cellStyle name="Hipervínculo visitado" xfId="78" builtinId="9" hidden="1"/>
    <cellStyle name="Hipervínculo visitado" xfId="790" builtinId="9" hidden="1"/>
    <cellStyle name="Hipervínculo visitado" xfId="500" builtinId="9" hidden="1"/>
    <cellStyle name="Hipervínculo visitado" xfId="718" builtinId="9" hidden="1"/>
    <cellStyle name="Hipervínculo visitado" xfId="456" builtinId="9" hidden="1"/>
    <cellStyle name="Hipervínculo visitado" xfId="154" builtinId="9" hidden="1"/>
    <cellStyle name="Hipervínculo visitado" xfId="938" builtinId="9" hidden="1"/>
    <cellStyle name="Hipervínculo visitado" xfId="216" builtinId="9" hidden="1"/>
    <cellStyle name="Hipervínculo visitado" xfId="54" builtinId="9" hidden="1"/>
    <cellStyle name="Hipervínculo visitado" xfId="966" builtinId="9" hidden="1"/>
    <cellStyle name="Hipervínculo visitado" xfId="792" builtinId="9" hidden="1"/>
    <cellStyle name="Hipervínculo visitado" xfId="328" builtinId="9" hidden="1"/>
    <cellStyle name="Hipervínculo visitado" xfId="674" builtinId="9" hidden="1"/>
    <cellStyle name="Hipervínculo visitado" xfId="28" builtinId="9" hidden="1"/>
    <cellStyle name="Hipervínculo visitado" xfId="988" builtinId="9" hidden="1"/>
    <cellStyle name="Hipervínculo visitado" xfId="250" builtinId="9" hidden="1"/>
    <cellStyle name="Hipervínculo visitado" xfId="856" builtinId="9" hidden="1"/>
    <cellStyle name="Hipervínculo visitado" xfId="480" builtinId="9" hidden="1"/>
    <cellStyle name="Hipervínculo visitado" xfId="266" builtinId="9" hidden="1"/>
    <cellStyle name="Hipervínculo visitado" xfId="730" builtinId="9" hidden="1"/>
    <cellStyle name="Hipervínculo visitado" xfId="184" builtinId="9" hidden="1"/>
    <cellStyle name="Hipervínculo visitado" xfId="886" builtinId="9" hidden="1"/>
    <cellStyle name="Hipervínculo visitado" xfId="600" builtinId="9" hidden="1"/>
    <cellStyle name="Hipervínculo visitado" xfId="1054" builtinId="9" hidden="1"/>
    <cellStyle name="Hipervínculo visitado" xfId="390" builtinId="9" hidden="1"/>
    <cellStyle name="Hipervínculo visitado" xfId="610" builtinId="9" hidden="1"/>
    <cellStyle name="Hipervínculo visitado" xfId="800" builtinId="9" hidden="1"/>
    <cellStyle name="Hipervínculo visitado" xfId="584" builtinId="9" hidden="1"/>
    <cellStyle name="Hipervínculo visitado" xfId="96" builtinId="9" hidden="1"/>
    <cellStyle name="Hipervínculo visitado" xfId="284" builtinId="9" hidden="1"/>
    <cellStyle name="Hipervínculo visitado" xfId="210" builtinId="9" hidden="1"/>
    <cellStyle name="Hipervínculo visitado" xfId="626" builtinId="9" hidden="1"/>
    <cellStyle name="Hipervínculo visitado" xfId="212" builtinId="9" hidden="1"/>
    <cellStyle name="Hipervínculo visitado" xfId="1008" builtinId="9" hidden="1"/>
    <cellStyle name="Hipervínculo visitado" xfId="860" builtinId="9" hidden="1"/>
    <cellStyle name="Hipervínculo visitado" xfId="220" builtinId="9" hidden="1"/>
    <cellStyle name="Hipervínculo visitado" xfId="808" builtinId="9" hidden="1"/>
    <cellStyle name="Hipervínculo visitado" xfId="566" builtinId="9" hidden="1"/>
    <cellStyle name="Hipervínculo visitado" xfId="612" builtinId="9" hidden="1"/>
    <cellStyle name="Hipervínculo visitado" xfId="572" builtinId="9" hidden="1"/>
    <cellStyle name="Hipervínculo visitado" xfId="156" builtinId="9" hidden="1"/>
    <cellStyle name="Hipervínculo visitado" xfId="272" builtinId="9" hidden="1"/>
    <cellStyle name="Hipervínculo visitado" xfId="1000" builtinId="9" hidden="1"/>
    <cellStyle name="Hipervínculo visitado" xfId="602" builtinId="9" hidden="1"/>
    <cellStyle name="Hipervínculo visitado" xfId="746" builtinId="9" hidden="1"/>
    <cellStyle name="Hipervínculo visitado" xfId="944" builtinId="9" hidden="1"/>
    <cellStyle name="Hipervínculo visitado" xfId="4" builtinId="9" hidden="1"/>
    <cellStyle name="Hipervínculo visitado" xfId="722" builtinId="9" hidden="1"/>
    <cellStyle name="Hipervínculo visitado" xfId="590" builtinId="9" hidden="1"/>
    <cellStyle name="Hipervínculo visitado" xfId="218" builtinId="9" hidden="1"/>
    <cellStyle name="Hipervínculo visitado" xfId="1032" builtinId="9" hidden="1"/>
    <cellStyle name="Hipervínculo visitado" xfId="690" builtinId="9" hidden="1"/>
    <cellStyle name="Hipervínculo visitado" xfId="928" builtinId="9" hidden="1"/>
    <cellStyle name="Hipervínculo visitado" xfId="268" builtinId="9" hidden="1"/>
    <cellStyle name="Hipervínculo visitado" xfId="706" builtinId="9" hidden="1"/>
    <cellStyle name="Hipervínculo visitado" xfId="1090" builtinId="9" hidden="1"/>
    <cellStyle name="Hipervínculo visitado" xfId="768" builtinId="9" hidden="1"/>
    <cellStyle name="Hipervínculo visitado" xfId="32" builtinId="9" hidden="1"/>
    <cellStyle name="Hipervínculo visitado" xfId="440" builtinId="9" hidden="1"/>
    <cellStyle name="Hipervínculo visitado" xfId="992" builtinId="9" hidden="1"/>
    <cellStyle name="Hipervínculo visitado" xfId="952" builtinId="9" hidden="1"/>
    <cellStyle name="Hipervínculo visitado" xfId="1072" builtinId="9" hidden="1"/>
    <cellStyle name="Hipervínculo visitado" xfId="348" builtinId="9" hidden="1"/>
    <cellStyle name="Hipervínculo visitado" xfId="868" builtinId="9" hidden="1"/>
    <cellStyle name="Hipervínculo visitado" xfId="282" builtinId="9" hidden="1"/>
    <cellStyle name="Hipervínculo visitado" xfId="476" builtinId="9" hidden="1"/>
    <cellStyle name="Hipervínculo visitado" xfId="140" builtinId="9" hidden="1"/>
    <cellStyle name="Hipervínculo visitado" xfId="888" builtinId="9" hidden="1"/>
    <cellStyle name="Hipervínculo visitado" xfId="676" builtinId="9" hidden="1"/>
    <cellStyle name="Hipervínculo visitado" xfId="214" builtinId="9" hidden="1"/>
    <cellStyle name="Hipervínculo visitado" xfId="460" builtinId="9" hidden="1"/>
    <cellStyle name="Hipervínculo visitado" xfId="394" builtinId="9" hidden="1"/>
    <cellStyle name="Hipervínculo visitado" xfId="342" builtinId="9" hidden="1"/>
    <cellStyle name="Hipervínculo visitado" xfId="256" builtinId="9" hidden="1"/>
    <cellStyle name="Hipervínculo visitado" xfId="678" builtinId="9" hidden="1"/>
    <cellStyle name="Hipervínculo visitado" xfId="710" builtinId="9" hidden="1"/>
    <cellStyle name="Hipervínculo visitado" xfId="166" builtinId="9" hidden="1"/>
    <cellStyle name="Hipervínculo visitado" xfId="206" builtinId="9" hidden="1"/>
    <cellStyle name="Hipervínculo visitado" xfId="618" builtinId="9" hidden="1"/>
    <cellStyle name="Hipervínculo visitado" xfId="720" builtinId="9" hidden="1"/>
    <cellStyle name="Hipervínculo visitado" xfId="666" builtinId="9" hidden="1"/>
    <cellStyle name="Hipervínculo visitado" xfId="874" builtinId="9" hidden="1"/>
    <cellStyle name="Hipervínculo visitado" xfId="278" builtinId="9" hidden="1"/>
    <cellStyle name="Hipervínculo visitado" xfId="982" builtinId="9" hidden="1"/>
    <cellStyle name="Hipervínculo visitado" xfId="712" builtinId="9" hidden="1"/>
    <cellStyle name="Hipervínculo visitado" xfId="398" builtinId="9" hidden="1"/>
    <cellStyle name="Hipervínculo visitado" xfId="126" builtinId="9" hidden="1"/>
    <cellStyle name="Hipervínculo visitado" xfId="1006" builtinId="9" hidden="1"/>
    <cellStyle name="Hipervínculo visitado" xfId="662" builtinId="9" hidden="1"/>
    <cellStyle name="Hipervínculo visitado" xfId="532" builtinId="9" hidden="1"/>
    <cellStyle name="Hipervínculo visitado" xfId="784" builtinId="9" hidden="1"/>
    <cellStyle name="Hipervínculo visitado" xfId="616" builtinId="9" hidden="1"/>
    <cellStyle name="Hipervínculo visitado" xfId="762" builtinId="9" hidden="1"/>
    <cellStyle name="Hipervínculo visitado" xfId="310" builtinId="9" hidden="1"/>
    <cellStyle name="Hipervínculo visitado" xfId="772" builtinId="9" hidden="1"/>
    <cellStyle name="Hipervínculo visitado" xfId="108" builtinId="9" hidden="1"/>
    <cellStyle name="Hipervínculo visitado" xfId="514" builtinId="9" hidden="1"/>
    <cellStyle name="Hipervínculo visitado" xfId="234" builtinId="9" hidden="1"/>
    <cellStyle name="Hipervínculo visitado" xfId="128" builtinId="9" hidden="1"/>
    <cellStyle name="Hipervínculo visitado" xfId="362" builtinId="9" hidden="1"/>
    <cellStyle name="Hipervínculo visitado" xfId="880" builtinId="9" hidden="1"/>
    <cellStyle name="Hipervínculo visitado" xfId="1044" builtinId="9" hidden="1"/>
    <cellStyle name="Hipervínculo visitado" xfId="558" builtinId="9" hidden="1"/>
    <cellStyle name="Hipervínculo visitado" xfId="150" builtinId="9" hidden="1"/>
    <cellStyle name="Hipervínculo visitado" xfId="274" builtinId="9" hidden="1"/>
    <cellStyle name="Hipervínculo visitado" xfId="1034" builtinId="9" hidden="1"/>
    <cellStyle name="Hipervínculo visitado" xfId="400" builtinId="9" hidden="1"/>
    <cellStyle name="Hipervínculo visitado" xfId="756" builtinId="9" hidden="1"/>
    <cellStyle name="Hipervínculo visitado" xfId="776" builtinId="9" hidden="1"/>
    <cellStyle name="Hipervínculo visitado" xfId="270" builtinId="9" hidden="1"/>
    <cellStyle name="Hipervínculo visitado" xfId="926" builtinId="9" hidden="1"/>
    <cellStyle name="Hipervínculo visitado" xfId="648" builtinId="9" hidden="1"/>
    <cellStyle name="Hipervínculo visitado" xfId="902" builtinId="9" hidden="1"/>
    <cellStyle name="Hipervínculo visitado" xfId="48" builtinId="9" hidden="1"/>
    <cellStyle name="Hipervínculo visitado" xfId="1074" builtinId="9" hidden="1"/>
    <cellStyle name="Hipervínculo visitado" xfId="472" builtinId="9" hidden="1"/>
    <cellStyle name="Hipervínculo visitado" xfId="62" builtinId="9" hidden="1"/>
    <cellStyle name="Hipervínculo visitado" xfId="958" builtinId="9" hidden="1"/>
    <cellStyle name="Hipervínculo visitado" xfId="652" builtinId="9" hidden="1"/>
    <cellStyle name="Hipervínculo visitado" xfId="200" builtinId="9" hidden="1"/>
    <cellStyle name="Hipervínculo visitado" xfId="816" builtinId="9" hidden="1"/>
    <cellStyle name="Hipervínculo visitado" xfId="430" builtinId="9" hidden="1"/>
    <cellStyle name="Hipervínculo visitado" xfId="288" builtinId="9" hidden="1"/>
    <cellStyle name="Hipervínculo visitado" xfId="444" builtinId="9" hidden="1"/>
    <cellStyle name="Hipervínculo visitado" xfId="372" builtinId="9" hidden="1"/>
    <cellStyle name="Hipervínculo visitado" xfId="680" builtinId="9" hidden="1"/>
    <cellStyle name="Hipervínculo visitado" xfId="976" builtinId="9" hidden="1"/>
    <cellStyle name="Hipervínculo visitado" xfId="682" builtinId="9" hidden="1"/>
    <cellStyle name="Hipervínculo visitado" xfId="628" builtinId="9" hidden="1"/>
    <cellStyle name="Hipervínculo visitado" xfId="806" builtinId="9" hidden="1"/>
    <cellStyle name="Hipervínculo visitado" xfId="312" builtinId="9" hidden="1"/>
    <cellStyle name="Hipervínculo visitado" xfId="702" builtinId="9" hidden="1"/>
    <cellStyle name="Hipervínculo visitado" xfId="194" builtinId="9" hidden="1"/>
    <cellStyle name="Hipervínculo visitado" xfId="482" builtinId="9" hidden="1"/>
    <cellStyle name="Hipervínculo visitado" xfId="228" builtinId="9" hidden="1"/>
    <cellStyle name="Hipervínculo visitado" xfId="696" builtinId="9" hidden="1"/>
    <cellStyle name="Hipervínculo visitado" xfId="738" builtinId="9" hidden="1"/>
    <cellStyle name="Hipervínculo visitado" xfId="620" builtinId="9" hidden="1"/>
    <cellStyle name="Hipervínculo visitado" xfId="1070" builtinId="9" hidden="1"/>
    <cellStyle name="Hipervínculo visitado" xfId="576" builtinId="9" hidden="1"/>
    <cellStyle name="Hipervínculo visitado" xfId="1022" builtinId="9" hidden="1"/>
    <cellStyle name="Hipervínculo visitado" xfId="664" builtinId="9" hidden="1"/>
    <cellStyle name="Hipervínculo visitado" xfId="920" builtinId="9" hidden="1"/>
    <cellStyle name="Hipervínculo visitado" xfId="840" builtinId="9" hidden="1"/>
    <cellStyle name="Hipervínculo visitado" xfId="338" builtinId="9" hidden="1"/>
    <cellStyle name="Hipervínculo visitado" xfId="918" builtinId="9" hidden="1"/>
    <cellStyle name="Hipervínculo visitado" xfId="1048" builtinId="9" hidden="1"/>
    <cellStyle name="Hipervínculo visitado" xfId="614" builtinId="9" hidden="1"/>
    <cellStyle name="Hipervínculo visitado" xfId="716" builtinId="9" hidden="1"/>
    <cellStyle name="Hipervínculo visitado" xfId="98" builtinId="9" hidden="1"/>
    <cellStyle name="Hipervínculo visitado" xfId="208" builtinId="9" hidden="1"/>
    <cellStyle name="Hipervínculo visitado" xfId="192" builtinId="9" hidden="1"/>
    <cellStyle name="Hipervínculo visitado" xfId="144" builtinId="9" hidden="1"/>
    <cellStyle name="Hipervínculo visitado" xfId="158" builtinId="9" hidden="1"/>
    <cellStyle name="Hipervínculo visitado" xfId="12" builtinId="9" hidden="1"/>
    <cellStyle name="Hipervínculo visitado" xfId="714" builtinId="9" hidden="1"/>
    <cellStyle name="Hipervínculo visitado" xfId="422" builtinId="9" hidden="1"/>
    <cellStyle name="Hipervínculo visitado" xfId="404" builtinId="9" hidden="1"/>
    <cellStyle name="Hipervínculo visitado" xfId="406" builtinId="9" hidden="1"/>
    <cellStyle name="Hipervínculo visitado" xfId="464" builtinId="9" hidden="1"/>
    <cellStyle name="Hipervínculo visitado" xfId="520" builtinId="9" hidden="1"/>
    <cellStyle name="Hipervínculo visitado" xfId="778" builtinId="9" hidden="1"/>
    <cellStyle name="Hipervínculo visitado" xfId="1080" builtinId="9" hidden="1"/>
    <cellStyle name="Hipervínculo visitado" xfId="632" builtinId="9" hidden="1"/>
    <cellStyle name="Hipervínculo visitado" xfId="820" builtinId="9" hidden="1"/>
    <cellStyle name="Hipervínculo visitado" xfId="112" builtinId="9" hidden="1"/>
    <cellStyle name="Hipervínculo visitado" xfId="198" builtinId="9" hidden="1"/>
    <cellStyle name="Hipervínculo visitado" xfId="564" builtinId="9" hidden="1"/>
    <cellStyle name="Hipervínculo visitado" xfId="264" builtinId="9" hidden="1"/>
    <cellStyle name="Hipervínculo visitado" xfId="898" builtinId="9" hidden="1"/>
    <cellStyle name="Hipervínculo visitado" xfId="980" builtinId="9" hidden="1"/>
    <cellStyle name="Hipervínculo visitado" xfId="1078" builtinId="9" hidden="1"/>
    <cellStyle name="Hipervínculo visitado" xfId="118" builtinId="9" hidden="1"/>
    <cellStyle name="Hipervínculo visitado" xfId="186" builtinId="9" hidden="1"/>
    <cellStyle name="Hipervínculo visitado" xfId="188" builtinId="9" hidden="1"/>
    <cellStyle name="Hipervínculo visitado" xfId="100" builtinId="9" hidden="1"/>
    <cellStyle name="Hipervínculo visitado" xfId="458" builtinId="9" hidden="1"/>
    <cellStyle name="Hipervínculo visitado" xfId="596" builtinId="9" hidden="1"/>
    <cellStyle name="Hipervínculo visitado" xfId="316" builtinId="9" hidden="1"/>
    <cellStyle name="Hipervínculo visitado" xfId="1084" builtinId="9" hidden="1"/>
    <cellStyle name="Hipervínculo visitado" xfId="670" builtinId="9" hidden="1"/>
    <cellStyle name="Hipervínculo visitado" xfId="120" builtinId="9" hidden="1"/>
    <cellStyle name="Hipervínculo visitado" xfId="986" builtinId="9" hidden="1"/>
    <cellStyle name="Hipervínculo visitado" xfId="320" builtinId="9" hidden="1"/>
    <cellStyle name="Hipervínculo visitado" xfId="88" builtinId="9" hidden="1"/>
    <cellStyle name="Hipervínculo visitado" xfId="528" builtinId="9" hidden="1"/>
    <cellStyle name="Hipervínculo visitado" xfId="506" builtinId="9" hidden="1"/>
    <cellStyle name="Hipervínculo visitado" xfId="412" builtinId="9" hidden="1"/>
    <cellStyle name="Hipervínculo visitado" xfId="588" builtinId="9" hidden="1"/>
    <cellStyle name="Hipervínculo visitado" xfId="152" builtinId="9" hidden="1"/>
    <cellStyle name="Hipervínculo visitado" xfId="436" builtinId="9" hidden="1"/>
    <cellStyle name="Hipervínculo visitado" xfId="442" builtinId="9" hidden="1"/>
    <cellStyle name="Hipervínculo visitado" xfId="990" builtinId="9" hidden="1"/>
    <cellStyle name="Hipervínculo visitado" xfId="876" builtinId="9" hidden="1"/>
    <cellStyle name="Hipervínculo visitado" xfId="544" builtinId="9" hidden="1"/>
    <cellStyle name="Hipervínculo visitado" xfId="46" builtinId="9" hidden="1"/>
    <cellStyle name="Hipervínculo visitado" xfId="180" builtinId="9" hidden="1"/>
    <cellStyle name="Hipervínculo visitado" xfId="332" builtinId="9" hidden="1"/>
    <cellStyle name="Hipervínculo visitado" xfId="812" builtinId="9" hidden="1"/>
    <cellStyle name="Hipervínculo visitado" xfId="1066" builtinId="9" hidden="1"/>
    <cellStyle name="Hipervínculo visitado" xfId="1050" builtinId="9" hidden="1"/>
    <cellStyle name="Hipervínculo visitado" xfId="894" builtinId="9" hidden="1"/>
    <cellStyle name="Hipervínculo visitado" xfId="508" builtinId="9" hidden="1"/>
    <cellStyle name="Hipervínculo visitado" xfId="492" builtinId="9" hidden="1"/>
    <cellStyle name="Hipervínculo visitado" xfId="262" builtinId="9" hidden="1"/>
    <cellStyle name="Hipervínculo visitado" xfId="882" builtinId="9" hidden="1"/>
    <cellStyle name="Hipervínculo visitado" xfId="510" builtinId="9" hidden="1"/>
    <cellStyle name="Hipervínculo visitado" xfId="774" builtinId="9" hidden="1"/>
    <cellStyle name="Hipervínculo visitado" xfId="490" builtinId="9" hidden="1"/>
    <cellStyle name="Hipervínculo visitado" xfId="828" builtinId="9" hidden="1"/>
    <cellStyle name="Hipervínculo visitado" xfId="936" builtinId="9" hidden="1"/>
    <cellStyle name="Hipervínculo visitado" xfId="782" builtinId="9" hidden="1"/>
    <cellStyle name="Hipervínculo visitado" xfId="462" builtinId="9" hidden="1"/>
    <cellStyle name="Hipervínculo visitado" xfId="700" builtinId="9" hidden="1"/>
    <cellStyle name="Hipervínculo visitado" xfId="276" builtinId="9" hidden="1"/>
    <cellStyle name="Hipervínculo visitado" xfId="40" builtinId="9" hidden="1"/>
    <cellStyle name="Hipervínculo visitado" xfId="168" builtinId="9" hidden="1"/>
    <cellStyle name="Hipervínculo visitado" xfId="592" builtinId="9" hidden="1"/>
    <cellStyle name="Hipervínculo visitado" xfId="538" builtinId="9" hidden="1"/>
    <cellStyle name="Hipervínculo visitado" xfId="52" builtinId="9" hidden="1"/>
    <cellStyle name="Hipervínculo visitado" xfId="298" builtinId="9" hidden="1"/>
    <cellStyle name="Hipervínculo visitado" xfId="226" builtinId="9" hidden="1"/>
    <cellStyle name="Hipervínculo visitado" xfId="788" builtinId="9" hidden="1"/>
    <cellStyle name="Hipervínculo visitado" xfId="892" builtinId="9" hidden="1"/>
    <cellStyle name="Hipervínculo visitado" xfId="204" builtinId="9" hidden="1"/>
    <cellStyle name="Hipervínculo visitado" xfId="308" builtinId="9" hidden="1"/>
    <cellStyle name="Hipervínculo visitado" xfId="850" builtinId="9" hidden="1"/>
    <cellStyle name="Hipervínculo visitado" xfId="498" builtinId="9" hidden="1"/>
    <cellStyle name="Hipervínculo visitado" xfId="420" builtinId="9" hidden="1"/>
    <cellStyle name="Hipervínculo visitado" xfId="410" builtinId="9" hidden="1"/>
    <cellStyle name="Hipervínculo visitado" xfId="474" builtinId="9" hidden="1"/>
    <cellStyle name="Hipervínculo visitado" xfId="326" builtinId="9" hidden="1"/>
    <cellStyle name="Hipervínculo visitado" xfId="354" builtinId="9" hidden="1"/>
    <cellStyle name="Hipervínculo visitado" xfId="598" builtinId="9" hidden="1"/>
    <cellStyle name="Hipervínculo visitado" xfId="290" builtinId="9" hidden="1"/>
    <cellStyle name="Hipervínculo visitado" xfId="836" builtinId="9" hidden="1"/>
    <cellStyle name="Hipervínculo visitado" xfId="644" builtinId="9" hidden="1"/>
    <cellStyle name="Hipervínculo visitado" xfId="434" builtinId="9" hidden="1"/>
    <cellStyle name="Hipervínculo visitado" xfId="76" builtinId="9" hidden="1"/>
    <cellStyle name="Hipervínculo visitado" xfId="396" builtinId="9" hidden="1"/>
    <cellStyle name="Hipervínculo visitado" xfId="906" builtinId="9" hidden="1"/>
    <cellStyle name="Hipervínculo visitado" xfId="414" builtinId="9" hidden="1"/>
    <cellStyle name="Hipervínculo visitado" xfId="524" builtinId="9" hidden="1"/>
    <cellStyle name="Hipervínculo visitado" xfId="494" builtinId="9" hidden="1"/>
    <cellStyle name="Hipervínculo visitado" xfId="466" builtinId="9" hidden="1"/>
    <cellStyle name="Hipervínculo visitado" xfId="844" builtinId="9" hidden="1"/>
    <cellStyle name="Hipervínculo visitado" xfId="356" builtinId="9" hidden="1"/>
    <cellStyle name="Hipervínculo visitado" xfId="580" builtinId="9" hidden="1"/>
    <cellStyle name="Hipervínculo visitado" xfId="418" builtinId="9" hidden="1"/>
    <cellStyle name="Hipervínculo visitado" xfId="540" builtinId="9" hidden="1"/>
    <cellStyle name="Hipervínculo visitado" xfId="550" builtinId="9" hidden="1"/>
    <cellStyle name="Hipervínculo visitado" xfId="478" builtinId="9" hidden="1"/>
    <cellStyle name="Hipervínculo visitado" xfId="376" builtinId="9" hidden="1"/>
    <cellStyle name="Hipervínculo visitado" xfId="122" builtinId="9" hidden="1"/>
    <cellStyle name="Hipervínculo visitado" xfId="904" builtinId="9" hidden="1"/>
    <cellStyle name="Hipervínculo visitado" xfId="344" builtinId="9" hidden="1"/>
    <cellStyle name="Hipervínculo visitado" xfId="388" builtinId="9" hidden="1"/>
    <cellStyle name="Hipervínculo visitado" xfId="470" builtinId="9" hidden="1"/>
    <cellStyle name="Hipervínculo visitado" xfId="954" builtinId="9" hidden="1"/>
    <cellStyle name="Hipervínculo visitado" xfId="134" builtinId="9" hidden="1"/>
    <cellStyle name="Hipervínculo visitado" xfId="1028" builtinId="9" hidden="1"/>
    <cellStyle name="Hipervínculo visitado" xfId="190" builtinId="9" hidden="1"/>
    <cellStyle name="Hipervínculo visitado" xfId="786" builtinId="9" hidden="1"/>
    <cellStyle name="Hipervínculo visitado" xfId="698" builtinId="9" hidden="1"/>
    <cellStyle name="Hipervínculo visitado" xfId="950" builtinId="9" hidden="1"/>
    <cellStyle name="Hipervínculo visitado" xfId="232" builtinId="9" hidden="1"/>
    <cellStyle name="Normal" xfId="0" builtinId="0"/>
    <cellStyle name="Normal 2" xfId="132" xr:uid="{00000000-0005-0000-0000-000041040000}"/>
    <cellStyle name="Porcentaje" xfId="131" builtinId="5"/>
  </cellStyles>
  <dxfs count="5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</dxfs>
  <tableStyles count="0" defaultTableStyle="TableStyleMedium9" defaultPivotStyle="PivotStyleMedium4"/>
  <colors>
    <mruColors>
      <color rgb="FFABE3FF"/>
      <color rgb="FF69CDFF"/>
      <color rgb="FF11C1FF"/>
      <color rgb="FF00A7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FC-4_ACTIVO'!E18"/><Relationship Id="rId13" Type="http://schemas.openxmlformats.org/officeDocument/2006/relationships/hyperlink" Target="#'FC-9_TRANS_SUBV'!C21"/><Relationship Id="rId18" Type="http://schemas.openxmlformats.org/officeDocument/2006/relationships/hyperlink" Target="#'FC-14_OPER_INTERNAS'!F17"/><Relationship Id="rId3" Type="http://schemas.openxmlformats.org/officeDocument/2006/relationships/hyperlink" Target="#_GENERAL!D13"/><Relationship Id="rId21" Type="http://schemas.openxmlformats.org/officeDocument/2006/relationships/hyperlink" Target="#'_FC-16_1_ INF_ADIC_ESTAB_PRESUP'!A1"/><Relationship Id="rId7" Type="http://schemas.openxmlformats.org/officeDocument/2006/relationships/hyperlink" Target="#'FC-3_CPyG'!E17"/><Relationship Id="rId12" Type="http://schemas.openxmlformats.org/officeDocument/2006/relationships/hyperlink" Target="#'FC-8_INV_FINANCIERAS'!C18"/><Relationship Id="rId17" Type="http://schemas.openxmlformats.org/officeDocument/2006/relationships/hyperlink" Target="#'FC-13_PERSONAL'!E39"/><Relationship Id="rId2" Type="http://schemas.openxmlformats.org/officeDocument/2006/relationships/hyperlink" Target="#'FC-3_1_INF_ADIC_CPyG'!E17"/><Relationship Id="rId16" Type="http://schemas.openxmlformats.org/officeDocument/2006/relationships/hyperlink" Target="#'FC-12_PERFIL_VTO_DEUDA'!E15"/><Relationship Id="rId20" Type="http://schemas.openxmlformats.org/officeDocument/2006/relationships/hyperlink" Target="#'_FC-16_ESTAB_PRESUP'!E27"/><Relationship Id="rId1" Type="http://schemas.openxmlformats.org/officeDocument/2006/relationships/image" Target="../media/image1.png"/><Relationship Id="rId6" Type="http://schemas.openxmlformats.org/officeDocument/2006/relationships/hyperlink" Target="#'FC-2_ACCIONISTAS'!C17"/><Relationship Id="rId11" Type="http://schemas.openxmlformats.org/officeDocument/2006/relationships/hyperlink" Target="#'FC-7_INF'!E15"/><Relationship Id="rId24" Type="http://schemas.openxmlformats.org/officeDocument/2006/relationships/hyperlink" Target="#'FC-9_1_SUBV_REINT'!C21"/><Relationship Id="rId5" Type="http://schemas.openxmlformats.org/officeDocument/2006/relationships/hyperlink" Target="#'FC-1_ORGANOS_GOBIERNO'!H16"/><Relationship Id="rId15" Type="http://schemas.openxmlformats.org/officeDocument/2006/relationships/hyperlink" Target="#'FC-11_DEUDA_VIVA'!F17"/><Relationship Id="rId23" Type="http://schemas.openxmlformats.org/officeDocument/2006/relationships/hyperlink" Target="#'FC-90'!E16"/><Relationship Id="rId10" Type="http://schemas.openxmlformats.org/officeDocument/2006/relationships/hyperlink" Target="#'FC-6_Inversiones'!C16"/><Relationship Id="rId19" Type="http://schemas.openxmlformats.org/officeDocument/2006/relationships/hyperlink" Target="#'FC-15_ENCARGOS'!C17"/><Relationship Id="rId4" Type="http://schemas.openxmlformats.org/officeDocument/2006/relationships/hyperlink" Target="#_CHECK_LIST!E15"/><Relationship Id="rId9" Type="http://schemas.openxmlformats.org/officeDocument/2006/relationships/hyperlink" Target="#'FC-4_PASIVO'!E19"/><Relationship Id="rId14" Type="http://schemas.openxmlformats.org/officeDocument/2006/relationships/hyperlink" Target="#'FC-10_DEUDAS'!C18"/><Relationship Id="rId22" Type="http://schemas.openxmlformats.org/officeDocument/2006/relationships/hyperlink" Target="#'_FC-17_FINANCIACI&#211;N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FC-4_ACTIVO'!E18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50800</xdr:colOff>
      <xdr:row>0</xdr:row>
      <xdr:rowOff>139699</xdr:rowOff>
    </xdr:from>
    <xdr:to>
      <xdr:col>2</xdr:col>
      <xdr:colOff>1079500</xdr:colOff>
      <xdr:row>3</xdr:row>
      <xdr:rowOff>77524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39699"/>
          <a:ext cx="1028700" cy="814125"/>
        </a:xfrm>
        <a:prstGeom prst="rect">
          <a:avLst/>
        </a:prstGeom>
      </xdr:spPr>
    </xdr:pic>
    <xdr:clientData/>
  </xdr:twoCellAnchor>
  <xdr:twoCellAnchor>
    <xdr:from>
      <xdr:col>2</xdr:col>
      <xdr:colOff>6978</xdr:colOff>
      <xdr:row>24</xdr:row>
      <xdr:rowOff>20934</xdr:rowOff>
    </xdr:from>
    <xdr:to>
      <xdr:col>2</xdr:col>
      <xdr:colOff>655934</xdr:colOff>
      <xdr:row>24</xdr:row>
      <xdr:rowOff>293077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F80A3A-2C13-5541-B3B2-6802DE992AB4}"/>
            </a:ext>
          </a:extLst>
        </xdr:cNvPr>
        <xdr:cNvSpPr/>
      </xdr:nvSpPr>
      <xdr:spPr>
        <a:xfrm>
          <a:off x="591178" y="8047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2</xdr:col>
      <xdr:colOff>0</xdr:colOff>
      <xdr:row>18</xdr:row>
      <xdr:rowOff>111648</xdr:rowOff>
    </xdr:from>
    <xdr:to>
      <xdr:col>2</xdr:col>
      <xdr:colOff>648956</xdr:colOff>
      <xdr:row>19</xdr:row>
      <xdr:rowOff>272143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CA0A55-1BBB-3544-9B4E-CE7EE2A27EED}"/>
            </a:ext>
          </a:extLst>
        </xdr:cNvPr>
        <xdr:cNvSpPr/>
      </xdr:nvSpPr>
      <xdr:spPr>
        <a:xfrm>
          <a:off x="584200" y="6436248"/>
          <a:ext cx="648956" cy="274795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2</xdr:col>
      <xdr:colOff>0</xdr:colOff>
      <xdr:row>20</xdr:row>
      <xdr:rowOff>13956</xdr:rowOff>
    </xdr:from>
    <xdr:to>
      <xdr:col>2</xdr:col>
      <xdr:colOff>648956</xdr:colOff>
      <xdr:row>20</xdr:row>
      <xdr:rowOff>286099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DCBA1E9-FC41-424A-A5F5-14E91DA1BB00}"/>
            </a:ext>
          </a:extLst>
        </xdr:cNvPr>
        <xdr:cNvSpPr/>
      </xdr:nvSpPr>
      <xdr:spPr>
        <a:xfrm>
          <a:off x="584200" y="6770356"/>
          <a:ext cx="648956" cy="272143"/>
        </a:xfrm>
        <a:prstGeom prst="roundRect">
          <a:avLst/>
        </a:prstGeom>
        <a:gradFill flip="none" rotWithShape="1">
          <a:gsLst>
            <a:gs pos="0">
              <a:schemeClr val="accent3">
                <a:lumMod val="40000"/>
                <a:lumOff val="60000"/>
              </a:schemeClr>
            </a:gs>
            <a:gs pos="29000">
              <a:schemeClr val="accent3">
                <a:lumMod val="94737"/>
                <a:lumOff val="5263"/>
              </a:schemeClr>
            </a:gs>
            <a:gs pos="100000">
              <a:schemeClr val="accent3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2</xdr:col>
      <xdr:colOff>0</xdr:colOff>
      <xdr:row>21</xdr:row>
      <xdr:rowOff>20934</xdr:rowOff>
    </xdr:from>
    <xdr:to>
      <xdr:col>2</xdr:col>
      <xdr:colOff>648956</xdr:colOff>
      <xdr:row>21</xdr:row>
      <xdr:rowOff>293077</xdr:rowOff>
    </xdr:to>
    <xdr:sp macro="" textlink="">
      <xdr:nvSpPr>
        <xdr:cNvPr id="7" name="Rectángulo redondead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C600D34-99B0-744B-819D-E8FB17F25BA8}"/>
            </a:ext>
          </a:extLst>
        </xdr:cNvPr>
        <xdr:cNvSpPr/>
      </xdr:nvSpPr>
      <xdr:spPr>
        <a:xfrm>
          <a:off x="584200" y="709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</xdr:col>
      <xdr:colOff>6978</xdr:colOff>
      <xdr:row>22</xdr:row>
      <xdr:rowOff>20934</xdr:rowOff>
    </xdr:from>
    <xdr:to>
      <xdr:col>2</xdr:col>
      <xdr:colOff>655934</xdr:colOff>
      <xdr:row>22</xdr:row>
      <xdr:rowOff>293077</xdr:rowOff>
    </xdr:to>
    <xdr:sp macro="" textlink="">
      <xdr:nvSpPr>
        <xdr:cNvPr id="8" name="Rectángulo redondead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2742CBF-60F9-DF4D-9CDE-04BCBFC7A28C}"/>
            </a:ext>
          </a:extLst>
        </xdr:cNvPr>
        <xdr:cNvSpPr/>
      </xdr:nvSpPr>
      <xdr:spPr>
        <a:xfrm>
          <a:off x="591178" y="7412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2</xdr:col>
      <xdr:colOff>6978</xdr:colOff>
      <xdr:row>23</xdr:row>
      <xdr:rowOff>20934</xdr:rowOff>
    </xdr:from>
    <xdr:to>
      <xdr:col>2</xdr:col>
      <xdr:colOff>655934</xdr:colOff>
      <xdr:row>23</xdr:row>
      <xdr:rowOff>293077</xdr:rowOff>
    </xdr:to>
    <xdr:sp macro="" textlink="">
      <xdr:nvSpPr>
        <xdr:cNvPr id="9" name="Rectángulo redondead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DDC6230-FD23-EA43-9FE8-19669B1A8A11}"/>
            </a:ext>
          </a:extLst>
        </xdr:cNvPr>
        <xdr:cNvSpPr/>
      </xdr:nvSpPr>
      <xdr:spPr>
        <a:xfrm>
          <a:off x="591178" y="772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2</xdr:col>
      <xdr:colOff>6978</xdr:colOff>
      <xdr:row>25</xdr:row>
      <xdr:rowOff>20934</xdr:rowOff>
    </xdr:from>
    <xdr:to>
      <xdr:col>2</xdr:col>
      <xdr:colOff>655934</xdr:colOff>
      <xdr:row>25</xdr:row>
      <xdr:rowOff>293077</xdr:rowOff>
    </xdr:to>
    <xdr:sp macro="" textlink="">
      <xdr:nvSpPr>
        <xdr:cNvPr id="10" name="Rectángulo redondead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42ACA3E-17AF-F148-9ADD-13314E2B49CF}"/>
            </a:ext>
          </a:extLst>
        </xdr:cNvPr>
        <xdr:cNvSpPr/>
      </xdr:nvSpPr>
      <xdr:spPr>
        <a:xfrm>
          <a:off x="591178" y="836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2</xdr:col>
      <xdr:colOff>6978</xdr:colOff>
      <xdr:row>26</xdr:row>
      <xdr:rowOff>20934</xdr:rowOff>
    </xdr:from>
    <xdr:to>
      <xdr:col>2</xdr:col>
      <xdr:colOff>655934</xdr:colOff>
      <xdr:row>26</xdr:row>
      <xdr:rowOff>293077</xdr:rowOff>
    </xdr:to>
    <xdr:sp macro="" textlink="">
      <xdr:nvSpPr>
        <xdr:cNvPr id="11" name="Rectángulo redondeado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0A1AD28-7711-E942-9141-9A5963C255C6}"/>
            </a:ext>
          </a:extLst>
        </xdr:cNvPr>
        <xdr:cNvSpPr/>
      </xdr:nvSpPr>
      <xdr:spPr>
        <a:xfrm>
          <a:off x="591178" y="8682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2</xdr:col>
      <xdr:colOff>6978</xdr:colOff>
      <xdr:row>27</xdr:row>
      <xdr:rowOff>20934</xdr:rowOff>
    </xdr:from>
    <xdr:to>
      <xdr:col>2</xdr:col>
      <xdr:colOff>655934</xdr:colOff>
      <xdr:row>27</xdr:row>
      <xdr:rowOff>293077</xdr:rowOff>
    </xdr:to>
    <xdr:sp macro="" textlink="">
      <xdr:nvSpPr>
        <xdr:cNvPr id="14" name="Rectángulo redondeado 1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D26FCE7-EF0E-C640-AB13-F407D186E4B1}"/>
            </a:ext>
          </a:extLst>
        </xdr:cNvPr>
        <xdr:cNvSpPr/>
      </xdr:nvSpPr>
      <xdr:spPr>
        <a:xfrm>
          <a:off x="591178" y="963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</xdr:col>
      <xdr:colOff>6978</xdr:colOff>
      <xdr:row>28</xdr:row>
      <xdr:rowOff>20934</xdr:rowOff>
    </xdr:from>
    <xdr:to>
      <xdr:col>2</xdr:col>
      <xdr:colOff>655934</xdr:colOff>
      <xdr:row>28</xdr:row>
      <xdr:rowOff>293077</xdr:rowOff>
    </xdr:to>
    <xdr:sp macro="" textlink="">
      <xdr:nvSpPr>
        <xdr:cNvPr id="15" name="Rectángulo redondeado 1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21834CC-8ED7-2F45-B437-A796B6C00520}"/>
            </a:ext>
          </a:extLst>
        </xdr:cNvPr>
        <xdr:cNvSpPr/>
      </xdr:nvSpPr>
      <xdr:spPr>
        <a:xfrm>
          <a:off x="591178" y="9952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2</xdr:col>
      <xdr:colOff>6978</xdr:colOff>
      <xdr:row>29</xdr:row>
      <xdr:rowOff>20934</xdr:rowOff>
    </xdr:from>
    <xdr:to>
      <xdr:col>2</xdr:col>
      <xdr:colOff>655934</xdr:colOff>
      <xdr:row>29</xdr:row>
      <xdr:rowOff>293077</xdr:rowOff>
    </xdr:to>
    <xdr:sp macro="" textlink="">
      <xdr:nvSpPr>
        <xdr:cNvPr id="16" name="Rectángulo redondeado 1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2218C81D-79DE-0C47-82C5-20BB80B83520}"/>
            </a:ext>
          </a:extLst>
        </xdr:cNvPr>
        <xdr:cNvSpPr/>
      </xdr:nvSpPr>
      <xdr:spPr>
        <a:xfrm>
          <a:off x="591178" y="1026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2</xdr:col>
      <xdr:colOff>6978</xdr:colOff>
      <xdr:row>30</xdr:row>
      <xdr:rowOff>20934</xdr:rowOff>
    </xdr:from>
    <xdr:to>
      <xdr:col>2</xdr:col>
      <xdr:colOff>655934</xdr:colOff>
      <xdr:row>30</xdr:row>
      <xdr:rowOff>293077</xdr:rowOff>
    </xdr:to>
    <xdr:sp macro="" textlink="">
      <xdr:nvSpPr>
        <xdr:cNvPr id="17" name="Rectángulo redondeado 1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F278E0B-5BAC-8446-BD5B-820F772B956B}"/>
            </a:ext>
          </a:extLst>
        </xdr:cNvPr>
        <xdr:cNvSpPr/>
      </xdr:nvSpPr>
      <xdr:spPr>
        <a:xfrm>
          <a:off x="591178" y="10587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2</xdr:col>
      <xdr:colOff>6978</xdr:colOff>
      <xdr:row>32</xdr:row>
      <xdr:rowOff>20934</xdr:rowOff>
    </xdr:from>
    <xdr:to>
      <xdr:col>2</xdr:col>
      <xdr:colOff>655934</xdr:colOff>
      <xdr:row>32</xdr:row>
      <xdr:rowOff>293077</xdr:rowOff>
    </xdr:to>
    <xdr:sp macro="" textlink="">
      <xdr:nvSpPr>
        <xdr:cNvPr id="18" name="Rectángulo redondeado 1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68C78BA2-EE72-7C40-8D6F-3FC619AA7C14}"/>
            </a:ext>
          </a:extLst>
        </xdr:cNvPr>
        <xdr:cNvSpPr/>
      </xdr:nvSpPr>
      <xdr:spPr>
        <a:xfrm>
          <a:off x="591178" y="1090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2</xdr:col>
      <xdr:colOff>6978</xdr:colOff>
      <xdr:row>33</xdr:row>
      <xdr:rowOff>20934</xdr:rowOff>
    </xdr:from>
    <xdr:to>
      <xdr:col>2</xdr:col>
      <xdr:colOff>655934</xdr:colOff>
      <xdr:row>33</xdr:row>
      <xdr:rowOff>293077</xdr:rowOff>
    </xdr:to>
    <xdr:sp macro="" textlink="">
      <xdr:nvSpPr>
        <xdr:cNvPr id="19" name="Rectángulo redondeado 1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18C94E6A-82D9-B74E-A76E-72BED88F5984}"/>
            </a:ext>
          </a:extLst>
        </xdr:cNvPr>
        <xdr:cNvSpPr/>
      </xdr:nvSpPr>
      <xdr:spPr>
        <a:xfrm>
          <a:off x="591178" y="11222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2</xdr:col>
      <xdr:colOff>6978</xdr:colOff>
      <xdr:row>34</xdr:row>
      <xdr:rowOff>20934</xdr:rowOff>
    </xdr:from>
    <xdr:to>
      <xdr:col>2</xdr:col>
      <xdr:colOff>655934</xdr:colOff>
      <xdr:row>34</xdr:row>
      <xdr:rowOff>293077</xdr:rowOff>
    </xdr:to>
    <xdr:sp macro="" textlink="">
      <xdr:nvSpPr>
        <xdr:cNvPr id="20" name="Rectángulo redondeado 19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F7DB3612-90F4-B34C-BF0B-C2652697CEBA}"/>
            </a:ext>
          </a:extLst>
        </xdr:cNvPr>
        <xdr:cNvSpPr/>
      </xdr:nvSpPr>
      <xdr:spPr>
        <a:xfrm>
          <a:off x="591178" y="1153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2</xdr:col>
      <xdr:colOff>6978</xdr:colOff>
      <xdr:row>35</xdr:row>
      <xdr:rowOff>20934</xdr:rowOff>
    </xdr:from>
    <xdr:to>
      <xdr:col>2</xdr:col>
      <xdr:colOff>655934</xdr:colOff>
      <xdr:row>35</xdr:row>
      <xdr:rowOff>293077</xdr:rowOff>
    </xdr:to>
    <xdr:sp macro="" textlink="">
      <xdr:nvSpPr>
        <xdr:cNvPr id="21" name="Rectángulo redondeado 20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F0261BB4-3D7B-5042-808F-EDEB8804B1AC}"/>
            </a:ext>
          </a:extLst>
        </xdr:cNvPr>
        <xdr:cNvSpPr/>
      </xdr:nvSpPr>
      <xdr:spPr>
        <a:xfrm>
          <a:off x="591178" y="11857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2</xdr:col>
      <xdr:colOff>6978</xdr:colOff>
      <xdr:row>36</xdr:row>
      <xdr:rowOff>20934</xdr:rowOff>
    </xdr:from>
    <xdr:to>
      <xdr:col>2</xdr:col>
      <xdr:colOff>655934</xdr:colOff>
      <xdr:row>36</xdr:row>
      <xdr:rowOff>293077</xdr:rowOff>
    </xdr:to>
    <xdr:sp macro="" textlink="">
      <xdr:nvSpPr>
        <xdr:cNvPr id="22" name="Rectángulo redondeado 21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666762CF-A569-5842-B969-24A9C71128FB}"/>
            </a:ext>
          </a:extLst>
        </xdr:cNvPr>
        <xdr:cNvSpPr/>
      </xdr:nvSpPr>
      <xdr:spPr>
        <a:xfrm>
          <a:off x="591178" y="1217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2</xdr:col>
      <xdr:colOff>6978</xdr:colOff>
      <xdr:row>37</xdr:row>
      <xdr:rowOff>20934</xdr:rowOff>
    </xdr:from>
    <xdr:to>
      <xdr:col>2</xdr:col>
      <xdr:colOff>655934</xdr:colOff>
      <xdr:row>37</xdr:row>
      <xdr:rowOff>293077</xdr:rowOff>
    </xdr:to>
    <xdr:sp macro="" textlink="">
      <xdr:nvSpPr>
        <xdr:cNvPr id="23" name="Rectángulo redondeado 22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2A31096F-BCA2-DB40-91CF-FE2C26BF4418}"/>
            </a:ext>
          </a:extLst>
        </xdr:cNvPr>
        <xdr:cNvSpPr/>
      </xdr:nvSpPr>
      <xdr:spPr>
        <a:xfrm>
          <a:off x="591178" y="12492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2</xdr:col>
      <xdr:colOff>6978</xdr:colOff>
      <xdr:row>38</xdr:row>
      <xdr:rowOff>20934</xdr:rowOff>
    </xdr:from>
    <xdr:to>
      <xdr:col>2</xdr:col>
      <xdr:colOff>655934</xdr:colOff>
      <xdr:row>38</xdr:row>
      <xdr:rowOff>293077</xdr:rowOff>
    </xdr:to>
    <xdr:sp macro="" textlink="">
      <xdr:nvSpPr>
        <xdr:cNvPr id="24" name="Rectángulo redondeado 23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6DD6CD3E-50BB-AE4B-8C8B-F8C9762D7808}"/>
            </a:ext>
          </a:extLst>
        </xdr:cNvPr>
        <xdr:cNvSpPr/>
      </xdr:nvSpPr>
      <xdr:spPr>
        <a:xfrm>
          <a:off x="591178" y="1280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</xdr:col>
      <xdr:colOff>6978</xdr:colOff>
      <xdr:row>39</xdr:row>
      <xdr:rowOff>20934</xdr:rowOff>
    </xdr:from>
    <xdr:to>
      <xdr:col>2</xdr:col>
      <xdr:colOff>655934</xdr:colOff>
      <xdr:row>39</xdr:row>
      <xdr:rowOff>293077</xdr:rowOff>
    </xdr:to>
    <xdr:sp macro="" textlink="">
      <xdr:nvSpPr>
        <xdr:cNvPr id="25" name="Rectángulo redondeado 24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23EC92A5-23BD-0D4C-A661-5EDA7A5287E9}"/>
            </a:ext>
          </a:extLst>
        </xdr:cNvPr>
        <xdr:cNvSpPr/>
      </xdr:nvSpPr>
      <xdr:spPr>
        <a:xfrm>
          <a:off x="591178" y="13127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</xdr:col>
      <xdr:colOff>6978</xdr:colOff>
      <xdr:row>40</xdr:row>
      <xdr:rowOff>20934</xdr:rowOff>
    </xdr:from>
    <xdr:to>
      <xdr:col>2</xdr:col>
      <xdr:colOff>655934</xdr:colOff>
      <xdr:row>40</xdr:row>
      <xdr:rowOff>293077</xdr:rowOff>
    </xdr:to>
    <xdr:sp macro="" textlink="">
      <xdr:nvSpPr>
        <xdr:cNvPr id="26" name="Rectángulo redondeado 25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CE458748-3013-3C49-AF55-81DB48B442DE}"/>
            </a:ext>
          </a:extLst>
        </xdr:cNvPr>
        <xdr:cNvSpPr/>
      </xdr:nvSpPr>
      <xdr:spPr>
        <a:xfrm>
          <a:off x="591178" y="1344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2</xdr:col>
      <xdr:colOff>6978</xdr:colOff>
      <xdr:row>42</xdr:row>
      <xdr:rowOff>20934</xdr:rowOff>
    </xdr:from>
    <xdr:to>
      <xdr:col>2</xdr:col>
      <xdr:colOff>655934</xdr:colOff>
      <xdr:row>42</xdr:row>
      <xdr:rowOff>293077</xdr:rowOff>
    </xdr:to>
    <xdr:sp macro="" textlink="">
      <xdr:nvSpPr>
        <xdr:cNvPr id="27" name="Rectángulo redondeado 26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CCC4F102-6195-D541-9113-AC17149A8A5D}"/>
            </a:ext>
          </a:extLst>
        </xdr:cNvPr>
        <xdr:cNvSpPr/>
      </xdr:nvSpPr>
      <xdr:spPr>
        <a:xfrm>
          <a:off x="591178" y="143973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2</xdr:col>
      <xdr:colOff>6978</xdr:colOff>
      <xdr:row>31</xdr:row>
      <xdr:rowOff>20934</xdr:rowOff>
    </xdr:from>
    <xdr:to>
      <xdr:col>2</xdr:col>
      <xdr:colOff>655934</xdr:colOff>
      <xdr:row>31</xdr:row>
      <xdr:rowOff>293077</xdr:rowOff>
    </xdr:to>
    <xdr:sp macro="" textlink="">
      <xdr:nvSpPr>
        <xdr:cNvPr id="2" name="Rectángulo redondeado 1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25F68E25-B44D-D64B-8AC9-0486F044C49C}"/>
            </a:ext>
          </a:extLst>
        </xdr:cNvPr>
        <xdr:cNvSpPr/>
      </xdr:nvSpPr>
      <xdr:spPr>
        <a:xfrm>
          <a:off x="591178" y="10904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53772</xdr:colOff>
      <xdr:row>0</xdr:row>
      <xdr:rowOff>131314</xdr:rowOff>
    </xdr:from>
    <xdr:to>
      <xdr:col>2</xdr:col>
      <xdr:colOff>1134933</xdr:colOff>
      <xdr:row>3</xdr:row>
      <xdr:rowOff>139495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283" y="131314"/>
          <a:ext cx="1113546" cy="89988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247259</xdr:colOff>
      <xdr:row>0</xdr:row>
      <xdr:rowOff>133482</xdr:rowOff>
    </xdr:from>
    <xdr:to>
      <xdr:col>2</xdr:col>
      <xdr:colOff>1083419</xdr:colOff>
      <xdr:row>3</xdr:row>
      <xdr:rowOff>141663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876" y="133482"/>
          <a:ext cx="1118383" cy="90188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</xdr:colOff>
      <xdr:row>0</xdr:row>
      <xdr:rowOff>138123</xdr:rowOff>
    </xdr:from>
    <xdr:to>
      <xdr:col>3</xdr:col>
      <xdr:colOff>726</xdr:colOff>
      <xdr:row>3</xdr:row>
      <xdr:rowOff>136779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2940" y="138123"/>
          <a:ext cx="1120140" cy="892101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31172</xdr:colOff>
      <xdr:row>0</xdr:row>
      <xdr:rowOff>129348</xdr:rowOff>
    </xdr:from>
    <xdr:to>
      <xdr:col>3</xdr:col>
      <xdr:colOff>387</xdr:colOff>
      <xdr:row>3</xdr:row>
      <xdr:rowOff>129909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54B8DB-D86E-4D41-A021-BD4960C64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1372" y="129348"/>
          <a:ext cx="1123373" cy="88448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31172</xdr:colOff>
      <xdr:row>0</xdr:row>
      <xdr:rowOff>129348</xdr:rowOff>
    </xdr:from>
    <xdr:to>
      <xdr:col>2</xdr:col>
      <xdr:colOff>1131685</xdr:colOff>
      <xdr:row>3</xdr:row>
      <xdr:rowOff>137529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7717" y="129348"/>
          <a:ext cx="1123373" cy="8740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53340</xdr:colOff>
      <xdr:row>0</xdr:row>
      <xdr:rowOff>117803</xdr:rowOff>
    </xdr:from>
    <xdr:to>
      <xdr:col>3</xdr:col>
      <xdr:colOff>5080</xdr:colOff>
      <xdr:row>3</xdr:row>
      <xdr:rowOff>125984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3580" y="117803"/>
          <a:ext cx="1120140" cy="89210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83820</xdr:colOff>
      <xdr:row>0</xdr:row>
      <xdr:rowOff>117803</xdr:rowOff>
    </xdr:from>
    <xdr:to>
      <xdr:col>3</xdr:col>
      <xdr:colOff>6985</xdr:colOff>
      <xdr:row>3</xdr:row>
      <xdr:rowOff>125984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4060" y="117803"/>
          <a:ext cx="1120140" cy="892101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0</xdr:row>
      <xdr:rowOff>130503</xdr:rowOff>
    </xdr:from>
    <xdr:to>
      <xdr:col>3</xdr:col>
      <xdr:colOff>990600</xdr:colOff>
      <xdr:row>3</xdr:row>
      <xdr:rowOff>229142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400" y="130503"/>
          <a:ext cx="1231900" cy="97493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88900</xdr:colOff>
      <xdr:row>0</xdr:row>
      <xdr:rowOff>143203</xdr:rowOff>
    </xdr:from>
    <xdr:to>
      <xdr:col>3</xdr:col>
      <xdr:colOff>0</xdr:colOff>
      <xdr:row>3</xdr:row>
      <xdr:rowOff>151384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600" y="143203"/>
          <a:ext cx="1117600" cy="88448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25400</xdr:colOff>
      <xdr:row>0</xdr:row>
      <xdr:rowOff>130503</xdr:rowOff>
    </xdr:from>
    <xdr:to>
      <xdr:col>2</xdr:col>
      <xdr:colOff>1143000</xdr:colOff>
      <xdr:row>3</xdr:row>
      <xdr:rowOff>138684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100" y="130503"/>
          <a:ext cx="1117600" cy="8844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190500</xdr:rowOff>
    </xdr:from>
    <xdr:to>
      <xdr:col>3</xdr:col>
      <xdr:colOff>0</xdr:colOff>
      <xdr:row>3</xdr:row>
      <xdr:rowOff>99059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5000" y="190500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</xdr:colOff>
      <xdr:row>0</xdr:row>
      <xdr:rowOff>130503</xdr:rowOff>
    </xdr:from>
    <xdr:to>
      <xdr:col>2</xdr:col>
      <xdr:colOff>1120775</xdr:colOff>
      <xdr:row>3</xdr:row>
      <xdr:rowOff>138684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400" y="130503"/>
          <a:ext cx="1117600" cy="884481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53772</xdr:colOff>
      <xdr:row>0</xdr:row>
      <xdr:rowOff>131314</xdr:rowOff>
    </xdr:from>
    <xdr:to>
      <xdr:col>2</xdr:col>
      <xdr:colOff>1134933</xdr:colOff>
      <xdr:row>3</xdr:row>
      <xdr:rowOff>139495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1B6F91-AC5D-D34B-AF24-73DD17C4F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1472" y="131314"/>
          <a:ext cx="1113546" cy="884481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0</xdr:row>
      <xdr:rowOff>117803</xdr:rowOff>
    </xdr:from>
    <xdr:to>
      <xdr:col>3</xdr:col>
      <xdr:colOff>3586</xdr:colOff>
      <xdr:row>3</xdr:row>
      <xdr:rowOff>125984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0" y="117803"/>
          <a:ext cx="1117600" cy="884481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25400</xdr:colOff>
      <xdr:row>0</xdr:row>
      <xdr:rowOff>130503</xdr:rowOff>
    </xdr:from>
    <xdr:to>
      <xdr:col>3</xdr:col>
      <xdr:colOff>0</xdr:colOff>
      <xdr:row>3</xdr:row>
      <xdr:rowOff>134874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100" y="130503"/>
          <a:ext cx="1117600" cy="884481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</xdr:colOff>
      <xdr:row>1</xdr:row>
      <xdr:rowOff>25401</xdr:rowOff>
    </xdr:from>
    <xdr:to>
      <xdr:col>2</xdr:col>
      <xdr:colOff>863600</xdr:colOff>
      <xdr:row>2</xdr:row>
      <xdr:rowOff>279401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6900" y="444501"/>
          <a:ext cx="825500" cy="622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88901</xdr:colOff>
      <xdr:row>0</xdr:row>
      <xdr:rowOff>190500</xdr:rowOff>
    </xdr:from>
    <xdr:to>
      <xdr:col>2</xdr:col>
      <xdr:colOff>1186917</xdr:colOff>
      <xdr:row>3</xdr:row>
      <xdr:rowOff>115611</xdr:rowOff>
    </xdr:to>
    <xdr:pic>
      <xdr:nvPicPr>
        <xdr:cNvPr id="28" name="Picture 1" descr="logo-administrativo">
          <a:extLst>
            <a:ext uri="{FF2B5EF4-FFF2-40B4-BE49-F238E27FC236}">
              <a16:creationId xmlns:a16="http://schemas.microsoft.com/office/drawing/2014/main" id="{13DEFCD4-1AFB-5D4B-A355-94067782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7401" y="190500"/>
          <a:ext cx="1098016" cy="8014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46</xdr:row>
      <xdr:rowOff>20934</xdr:rowOff>
    </xdr:from>
    <xdr:to>
      <xdr:col>18</xdr:col>
      <xdr:colOff>0</xdr:colOff>
      <xdr:row>46</xdr:row>
      <xdr:rowOff>293077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0AA2AC-AC9F-E448-9A09-C2D5041E320B}"/>
            </a:ext>
          </a:extLst>
        </xdr:cNvPr>
        <xdr:cNvSpPr/>
      </xdr:nvSpPr>
      <xdr:spPr>
        <a:xfrm>
          <a:off x="19189700" y="13355934"/>
          <a:ext cx="0" cy="1832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7701" y="160021"/>
          <a:ext cx="990600" cy="7772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79341</xdr:colOff>
      <xdr:row>0</xdr:row>
      <xdr:rowOff>117803</xdr:rowOff>
    </xdr:from>
    <xdr:to>
      <xdr:col>3</xdr:col>
      <xdr:colOff>16141</xdr:colOff>
      <xdr:row>3</xdr:row>
      <xdr:rowOff>129794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1169" y="117803"/>
          <a:ext cx="1112820" cy="86850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261257</xdr:colOff>
      <xdr:row>0</xdr:row>
      <xdr:rowOff>148041</xdr:rowOff>
    </xdr:from>
    <xdr:to>
      <xdr:col>2</xdr:col>
      <xdr:colOff>1109738</xdr:colOff>
      <xdr:row>3</xdr:row>
      <xdr:rowOff>156222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4114" y="148041"/>
          <a:ext cx="1120624" cy="86996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N13:AQ18" totalsRowShown="0" headerRowDxfId="51" dataDxfId="50">
  <autoFilter ref="AN13:AQ18" xr:uid="{00000000-0009-0000-0100-000001000000}"/>
  <tableColumns count="4">
    <tableColumn id="1" xr3:uid="{00000000-0010-0000-0000-000001000000}" name="EE_DD" dataDxfId="49"/>
    <tableColumn id="2" xr3:uid="{00000000-0010-0000-0000-000002000000}" name="Clasificación_IGAE" dataDxfId="48"/>
    <tableColumn id="3" xr3:uid="{00000000-0010-0000-0000-000003000000}" name="Participación ECIT" dataDxfId="47"/>
    <tableColumn id="4" xr3:uid="{00000000-0010-0000-0000-000004000000}" name="Columna1" dataDxfId="4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a36" displayName="Tabla36" ref="AM18:AM22" totalsRowShown="0" headerRowDxfId="45" dataDxfId="44">
  <autoFilter ref="AM18:AM22" xr:uid="{00000000-0009-0000-0100-000005000000}"/>
  <tableColumns count="1">
    <tableColumn id="1" xr3:uid="{00000000-0010-0000-0100-000001000000}" name="Columna1" dataDxfId="4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a3" displayName="Tabla3" ref="AP12:AP18" totalsRowShown="0" headerRowDxfId="42" dataDxfId="41">
  <autoFilter ref="AP12:AP18" xr:uid="{00000000-0009-0000-0100-000003000000}"/>
  <tableColumns count="1">
    <tableColumn id="1" xr3:uid="{00000000-0010-0000-0200-000001000000}" name="Año_fin" dataDxfId="4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1:BS166"/>
  <sheetViews>
    <sheetView zoomScaleNormal="100" workbookViewId="0">
      <selection activeCell="R7" sqref="R7"/>
    </sheetView>
  </sheetViews>
  <sheetFormatPr baseColWidth="10" defaultColWidth="10.54296875" defaultRowHeight="15"/>
  <cols>
    <col min="1" max="1" width="3.1796875" style="3" customWidth="1"/>
    <col min="2" max="2" width="3.453125" style="2" customWidth="1"/>
    <col min="3" max="3" width="18" style="3" customWidth="1"/>
    <col min="4" max="13" width="10.54296875" style="3"/>
    <col min="14" max="14" width="3.1796875" style="2" customWidth="1"/>
    <col min="15" max="17" width="10.54296875" style="2"/>
    <col min="18" max="39" width="10.54296875" style="3"/>
    <col min="40" max="40" width="87.54296875" style="3" bestFit="1" customWidth="1"/>
    <col min="41" max="41" width="19" style="3" bestFit="1" customWidth="1"/>
    <col min="42" max="42" width="18.453125" style="3" bestFit="1" customWidth="1"/>
    <col min="43" max="43" width="10.54296875" style="3"/>
    <col min="44" max="44" width="17.1796875" style="3" bestFit="1" customWidth="1"/>
    <col min="45" max="16384" width="10.54296875" style="3"/>
  </cols>
  <sheetData>
    <row r="1" spans="2:71" s="2" customFormat="1" ht="22.95" customHeight="1"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  <c r="AA1" s="339"/>
      <c r="AB1" s="339"/>
      <c r="AC1" s="339"/>
      <c r="AD1" s="339"/>
      <c r="AE1" s="339"/>
      <c r="AF1" s="339"/>
      <c r="AG1" s="339"/>
      <c r="AH1" s="339"/>
      <c r="AI1" s="339"/>
      <c r="AJ1" s="339"/>
      <c r="AK1" s="339"/>
      <c r="AL1" s="339"/>
      <c r="AM1" s="339"/>
      <c r="AN1" s="339"/>
      <c r="AO1" s="339"/>
      <c r="AP1" s="339"/>
      <c r="AQ1" s="339"/>
      <c r="AR1" s="339"/>
      <c r="AS1" s="339"/>
      <c r="AT1" s="339"/>
      <c r="AU1" s="339"/>
      <c r="AV1" s="339"/>
      <c r="AW1" s="339"/>
      <c r="AX1" s="339"/>
      <c r="AY1" s="339"/>
      <c r="AZ1" s="339"/>
      <c r="BA1" s="339"/>
      <c r="BB1" s="339"/>
      <c r="BC1" s="339"/>
      <c r="BD1" s="339"/>
      <c r="BE1" s="339"/>
      <c r="BF1" s="339"/>
      <c r="BG1" s="339"/>
      <c r="BH1" s="339"/>
      <c r="BI1" s="339"/>
      <c r="BJ1" s="339"/>
      <c r="BK1" s="339"/>
      <c r="BL1" s="339"/>
      <c r="BM1" s="339"/>
      <c r="BN1" s="339"/>
      <c r="BO1" s="339"/>
      <c r="BP1" s="339"/>
      <c r="BQ1" s="339"/>
      <c r="BR1" s="339"/>
      <c r="BS1" s="339"/>
    </row>
    <row r="2" spans="2:71" s="2" customFormat="1" ht="22.95" customHeight="1">
      <c r="B2" s="339"/>
      <c r="C2" s="339"/>
      <c r="D2" s="599" t="s">
        <v>0</v>
      </c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  <c r="Y2" s="339"/>
      <c r="Z2" s="339"/>
      <c r="AA2" s="339"/>
      <c r="AB2" s="339"/>
      <c r="AC2" s="339"/>
      <c r="AD2" s="339"/>
      <c r="AE2" s="339"/>
      <c r="AF2" s="339"/>
      <c r="AG2" s="339"/>
      <c r="AH2" s="339"/>
      <c r="AI2" s="339"/>
      <c r="AJ2" s="339"/>
      <c r="AK2" s="339"/>
      <c r="AL2" s="339"/>
      <c r="AM2" s="339"/>
      <c r="AN2" s="339"/>
      <c r="AO2" s="339"/>
      <c r="AP2" s="339"/>
      <c r="AQ2" s="339"/>
      <c r="AR2" s="339"/>
      <c r="AS2" s="339"/>
      <c r="AT2" s="339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39"/>
      <c r="BL2" s="339"/>
      <c r="BM2" s="339"/>
      <c r="BN2" s="339"/>
      <c r="BO2" s="339"/>
      <c r="BP2" s="339"/>
      <c r="BQ2" s="339"/>
      <c r="BR2" s="339"/>
      <c r="BS2" s="339"/>
    </row>
    <row r="3" spans="2:71" s="2" customFormat="1" ht="22.95" customHeight="1">
      <c r="B3" s="339"/>
      <c r="C3" s="339"/>
      <c r="D3" s="318" t="s">
        <v>1</v>
      </c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</row>
    <row r="4" spans="2:71" s="2" customFormat="1" ht="22.95" customHeight="1" thickBot="1"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</row>
    <row r="5" spans="2:71" s="2" customFormat="1" ht="9" customHeight="1">
      <c r="B5" s="912"/>
      <c r="C5" s="913"/>
      <c r="D5" s="913"/>
      <c r="E5" s="913"/>
      <c r="F5" s="913"/>
      <c r="G5" s="913"/>
      <c r="H5" s="913"/>
      <c r="I5" s="913"/>
      <c r="J5" s="913"/>
      <c r="K5" s="913"/>
      <c r="L5" s="913"/>
      <c r="M5" s="913"/>
      <c r="N5" s="914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</row>
    <row r="6" spans="2:71" s="2" customFormat="1" ht="30" customHeight="1">
      <c r="B6" s="915"/>
      <c r="C6" s="1" t="s">
        <v>2</v>
      </c>
      <c r="D6" s="339"/>
      <c r="E6" s="339"/>
      <c r="F6" s="339"/>
      <c r="G6" s="339"/>
      <c r="H6" s="339"/>
      <c r="I6" s="339"/>
      <c r="J6" s="339"/>
      <c r="K6" s="339"/>
      <c r="L6" s="339"/>
      <c r="M6" s="1138">
        <f>ejercicio</f>
        <v>2025</v>
      </c>
      <c r="N6" s="916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339"/>
      <c r="BH6" s="339"/>
      <c r="BI6" s="339"/>
      <c r="BJ6" s="339"/>
      <c r="BK6" s="339"/>
      <c r="BL6" s="339"/>
      <c r="BM6" s="339"/>
      <c r="BN6" s="339"/>
      <c r="BO6" s="339"/>
      <c r="BP6" s="339"/>
      <c r="BQ6" s="339"/>
      <c r="BR6" s="339"/>
      <c r="BS6" s="339"/>
    </row>
    <row r="7" spans="2:71" s="2" customFormat="1" ht="30" customHeight="1">
      <c r="B7" s="915"/>
      <c r="C7" s="1" t="s">
        <v>3</v>
      </c>
      <c r="D7" s="339"/>
      <c r="E7" s="339"/>
      <c r="F7" s="339"/>
      <c r="G7" s="339"/>
      <c r="H7" s="339"/>
      <c r="I7" s="339"/>
      <c r="J7" s="339"/>
      <c r="K7" s="917"/>
      <c r="L7" s="339"/>
      <c r="M7" s="1138"/>
      <c r="N7" s="916"/>
      <c r="O7" s="339"/>
      <c r="P7" s="339"/>
      <c r="Q7" s="339"/>
      <c r="R7" s="339"/>
      <c r="S7" s="339"/>
      <c r="T7" s="339"/>
      <c r="U7" s="339"/>
      <c r="V7" s="339"/>
      <c r="W7" s="339"/>
      <c r="X7" s="339"/>
      <c r="Y7" s="339"/>
      <c r="Z7" s="339"/>
      <c r="AA7" s="339"/>
      <c r="AB7" s="339"/>
      <c r="AC7" s="339"/>
      <c r="AD7" s="339"/>
      <c r="AE7" s="339"/>
      <c r="AF7" s="339"/>
      <c r="AG7" s="339"/>
      <c r="AH7" s="339"/>
      <c r="AI7" s="339"/>
      <c r="AJ7" s="339"/>
      <c r="AK7" s="339"/>
      <c r="AL7" s="339"/>
      <c r="AM7" s="339"/>
      <c r="AN7" s="339"/>
      <c r="AO7" s="339"/>
      <c r="AP7" s="339"/>
      <c r="AQ7" s="339"/>
      <c r="AR7" s="339"/>
      <c r="AS7" s="339"/>
      <c r="AT7" s="339"/>
      <c r="AU7" s="339"/>
      <c r="AV7" s="339"/>
      <c r="AW7" s="339"/>
      <c r="AX7" s="339"/>
      <c r="AY7" s="339"/>
      <c r="AZ7" s="339"/>
      <c r="BA7" s="339"/>
      <c r="BB7" s="339"/>
      <c r="BC7" s="339"/>
      <c r="BD7" s="339"/>
      <c r="BE7" s="339"/>
      <c r="BF7" s="339"/>
      <c r="BG7" s="339"/>
      <c r="BH7" s="339"/>
      <c r="BI7" s="339"/>
      <c r="BJ7" s="339"/>
      <c r="BK7" s="339"/>
      <c r="BL7" s="339"/>
      <c r="BM7" s="339"/>
      <c r="BN7" s="339"/>
      <c r="BO7" s="339"/>
      <c r="BP7" s="339"/>
      <c r="BQ7" s="339"/>
      <c r="BR7" s="339"/>
      <c r="BS7" s="339"/>
    </row>
    <row r="8" spans="2:71" s="2" customFormat="1" ht="30" customHeight="1">
      <c r="B8" s="915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916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39"/>
      <c r="AA8" s="339"/>
      <c r="AB8" s="339"/>
      <c r="AC8" s="339"/>
      <c r="AD8" s="339"/>
      <c r="AE8" s="339"/>
      <c r="AF8" s="339"/>
      <c r="AG8" s="339"/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39"/>
      <c r="AW8" s="339"/>
      <c r="AX8" s="339"/>
      <c r="AY8" s="339"/>
      <c r="AZ8" s="339"/>
      <c r="BA8" s="339"/>
      <c r="BB8" s="339"/>
      <c r="BC8" s="339"/>
      <c r="BD8" s="339"/>
      <c r="BE8" s="339"/>
      <c r="BF8" s="339"/>
      <c r="BG8" s="339"/>
      <c r="BH8" s="339"/>
      <c r="BI8" s="339"/>
      <c r="BJ8" s="339"/>
      <c r="BK8" s="339"/>
      <c r="BL8" s="339"/>
      <c r="BM8" s="339"/>
      <c r="BN8" s="339"/>
      <c r="BO8" s="339"/>
      <c r="BP8" s="339"/>
      <c r="BQ8" s="339"/>
      <c r="BR8" s="339"/>
      <c r="BS8" s="339"/>
    </row>
    <row r="9" spans="2:71" s="2" customFormat="1" ht="30" customHeight="1">
      <c r="B9" s="915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916"/>
      <c r="O9" s="339"/>
      <c r="P9" s="339"/>
      <c r="Q9" s="340"/>
      <c r="R9" s="340"/>
      <c r="S9" s="340"/>
      <c r="T9" s="340"/>
      <c r="U9" s="339"/>
      <c r="V9" s="339"/>
      <c r="W9" s="339"/>
      <c r="X9" s="339"/>
      <c r="Y9" s="339"/>
      <c r="Z9" s="339"/>
      <c r="AA9" s="339"/>
      <c r="AB9" s="339"/>
      <c r="AC9" s="339"/>
      <c r="AD9" s="339"/>
      <c r="AE9" s="339"/>
      <c r="AF9" s="339"/>
      <c r="AG9" s="339"/>
      <c r="AH9" s="339"/>
      <c r="AI9" s="339"/>
      <c r="AJ9" s="339"/>
      <c r="AK9" s="339"/>
      <c r="AL9" s="339"/>
      <c r="AM9" s="339"/>
      <c r="AN9" s="339"/>
      <c r="AO9" s="339"/>
      <c r="AP9" s="339"/>
      <c r="AQ9" s="339"/>
      <c r="AR9" s="339"/>
      <c r="AS9" s="339"/>
      <c r="AT9" s="339"/>
      <c r="AU9" s="339"/>
      <c r="AV9" s="339"/>
      <c r="AW9" s="339"/>
      <c r="AX9" s="339"/>
      <c r="AY9" s="339"/>
      <c r="AZ9" s="339"/>
      <c r="BA9" s="339"/>
      <c r="BB9" s="339"/>
      <c r="BC9" s="339"/>
      <c r="BD9" s="339"/>
      <c r="BE9" s="339"/>
      <c r="BF9" s="339"/>
      <c r="BG9" s="339"/>
      <c r="BH9" s="339"/>
      <c r="BI9" s="339"/>
      <c r="BJ9" s="339"/>
      <c r="BK9" s="339"/>
      <c r="BL9" s="339"/>
      <c r="BM9" s="339"/>
      <c r="BN9" s="339"/>
      <c r="BO9" s="339"/>
      <c r="BP9" s="339"/>
      <c r="BQ9" s="339"/>
      <c r="BR9" s="339"/>
      <c r="BS9" s="339"/>
    </row>
    <row r="10" spans="2:71" s="2" customFormat="1" ht="7.2" customHeight="1">
      <c r="B10" s="915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916"/>
      <c r="O10" s="339"/>
      <c r="P10" s="339"/>
      <c r="Q10" s="340"/>
      <c r="R10" s="340"/>
      <c r="S10" s="340"/>
      <c r="T10" s="340"/>
      <c r="U10" s="339"/>
      <c r="V10" s="339"/>
      <c r="W10" s="339"/>
      <c r="X10" s="339"/>
      <c r="Y10" s="339"/>
      <c r="Z10" s="339"/>
      <c r="AA10" s="339"/>
      <c r="AB10" s="339"/>
      <c r="AC10" s="339"/>
      <c r="AD10" s="339"/>
      <c r="AE10" s="339"/>
      <c r="AF10" s="339"/>
      <c r="AG10" s="339"/>
      <c r="AH10" s="339"/>
      <c r="AI10" s="339"/>
      <c r="AJ10" s="339"/>
      <c r="AK10" s="339"/>
      <c r="AL10" s="339"/>
      <c r="AM10" s="339"/>
      <c r="AN10" s="339"/>
      <c r="AO10" s="339"/>
      <c r="AP10" s="339"/>
      <c r="AQ10" s="339"/>
      <c r="AR10" s="339"/>
      <c r="AS10" s="339"/>
      <c r="AT10" s="339"/>
      <c r="AU10" s="339"/>
      <c r="AV10" s="339"/>
      <c r="AW10" s="339"/>
      <c r="AX10" s="339"/>
      <c r="AY10" s="339"/>
      <c r="AZ10" s="339"/>
      <c r="BA10" s="339"/>
      <c r="BB10" s="339"/>
      <c r="BC10" s="339"/>
      <c r="BD10" s="339"/>
      <c r="BE10" s="339"/>
      <c r="BF10" s="339"/>
      <c r="BG10" s="339"/>
      <c r="BH10" s="339"/>
      <c r="BI10" s="339"/>
      <c r="BJ10" s="339"/>
      <c r="BK10" s="339"/>
      <c r="BL10" s="339"/>
      <c r="BM10" s="339"/>
      <c r="BN10" s="339"/>
      <c r="BO10" s="339"/>
      <c r="BP10" s="339"/>
      <c r="BQ10" s="339"/>
      <c r="BR10" s="339"/>
      <c r="BS10" s="339"/>
    </row>
    <row r="11" spans="2:71" ht="30" customHeight="1">
      <c r="B11" s="915"/>
      <c r="C11" s="4" t="s">
        <v>4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916"/>
      <c r="O11" s="918"/>
      <c r="P11" s="339"/>
      <c r="Q11" s="340"/>
      <c r="R11" s="340"/>
      <c r="S11" s="340"/>
      <c r="T11" s="340"/>
      <c r="U11" s="339"/>
      <c r="V11" s="339"/>
      <c r="W11" s="339"/>
      <c r="X11" s="339"/>
      <c r="Y11" s="339"/>
      <c r="Z11" s="339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39"/>
      <c r="AN11" s="339"/>
      <c r="AO11" s="339"/>
      <c r="AP11" s="339"/>
      <c r="AQ11" s="339"/>
      <c r="AR11" s="339"/>
      <c r="AS11" s="339"/>
      <c r="AT11" s="339"/>
      <c r="AU11" s="339"/>
      <c r="AV11" s="339"/>
      <c r="AW11" s="339"/>
      <c r="AX11" s="339"/>
      <c r="AY11" s="339"/>
      <c r="AZ11" s="339"/>
      <c r="BA11" s="339"/>
      <c r="BB11" s="339"/>
      <c r="BC11" s="339"/>
      <c r="BD11" s="339"/>
      <c r="BE11" s="339"/>
      <c r="BF11" s="339"/>
      <c r="BG11" s="339"/>
      <c r="BH11" s="339"/>
      <c r="BI11" s="339"/>
      <c r="BJ11" s="339"/>
      <c r="BK11" s="339"/>
      <c r="BL11" s="339"/>
      <c r="BM11" s="339"/>
      <c r="BN11" s="339"/>
      <c r="BO11" s="339"/>
      <c r="BP11" s="339"/>
      <c r="BQ11" s="339"/>
      <c r="BR11" s="339"/>
      <c r="BS11" s="339"/>
    </row>
    <row r="12" spans="2:71" s="2" customFormat="1" ht="30" customHeight="1">
      <c r="B12" s="915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916"/>
      <c r="O12" s="339"/>
      <c r="P12" s="339"/>
      <c r="Q12" s="340"/>
      <c r="R12" s="340"/>
      <c r="S12" s="340"/>
      <c r="T12" s="340"/>
      <c r="U12" s="339"/>
      <c r="V12" s="339"/>
      <c r="W12" s="339"/>
      <c r="X12" s="339"/>
      <c r="Y12" s="339"/>
      <c r="Z12" s="339"/>
      <c r="AA12" s="339"/>
      <c r="AB12" s="339"/>
      <c r="AC12" s="339"/>
      <c r="AD12" s="339"/>
      <c r="AE12" s="339"/>
      <c r="AF12" s="339"/>
      <c r="AG12" s="339"/>
      <c r="AH12" s="339"/>
      <c r="AI12" s="339"/>
      <c r="AJ12" s="339"/>
      <c r="AK12" s="339"/>
      <c r="AL12" s="339"/>
      <c r="AM12" s="339"/>
      <c r="AN12" s="339"/>
      <c r="AO12" s="339"/>
      <c r="AP12" s="339"/>
      <c r="AQ12" s="339"/>
      <c r="AR12" s="339"/>
      <c r="AS12" s="339"/>
      <c r="AT12" s="339"/>
      <c r="AU12" s="339"/>
      <c r="AV12" s="339"/>
      <c r="AW12" s="339"/>
      <c r="AX12" s="339"/>
      <c r="AY12" s="339"/>
      <c r="AZ12" s="339"/>
      <c r="BA12" s="339"/>
      <c r="BB12" s="339"/>
      <c r="BC12" s="339"/>
      <c r="BD12" s="339"/>
      <c r="BE12" s="339"/>
      <c r="BF12" s="339"/>
      <c r="BG12" s="339"/>
      <c r="BH12" s="339"/>
      <c r="BI12" s="339"/>
      <c r="BJ12" s="339"/>
      <c r="BK12" s="339"/>
      <c r="BL12" s="339"/>
      <c r="BM12" s="339"/>
      <c r="BN12" s="339"/>
      <c r="BO12" s="339"/>
      <c r="BP12" s="339"/>
      <c r="BQ12" s="339"/>
      <c r="BR12" s="339"/>
      <c r="BS12" s="339"/>
    </row>
    <row r="13" spans="2:71" s="6" customFormat="1" ht="30" customHeight="1">
      <c r="B13" s="915"/>
      <c r="C13" s="136" t="s">
        <v>5</v>
      </c>
      <c r="D13" s="1139" t="s">
        <v>6</v>
      </c>
      <c r="E13" s="1140"/>
      <c r="F13" s="1140"/>
      <c r="G13" s="1140"/>
      <c r="H13" s="1140"/>
      <c r="I13" s="1140"/>
      <c r="J13" s="1140"/>
      <c r="K13" s="1140"/>
      <c r="L13" s="1140"/>
      <c r="M13" s="1141"/>
      <c r="N13" s="916"/>
      <c r="O13" s="318"/>
      <c r="P13" s="657" t="str">
        <f>VLOOKUP(Entidad,Tabla1[#All],4,FALSE)</f>
        <v>37_</v>
      </c>
      <c r="Q13" s="341"/>
      <c r="R13" s="341"/>
      <c r="S13" s="341"/>
      <c r="T13" s="341"/>
      <c r="U13" s="318"/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  <c r="AH13" s="318"/>
      <c r="AI13" s="318"/>
      <c r="AJ13" s="318"/>
      <c r="AK13" s="318"/>
      <c r="AL13" s="318"/>
      <c r="AM13" s="318"/>
      <c r="AN13" s="840" t="s">
        <v>7</v>
      </c>
      <c r="AO13" s="840" t="s">
        <v>8</v>
      </c>
      <c r="AP13" s="840" t="s">
        <v>9</v>
      </c>
      <c r="AQ13" s="840" t="s">
        <v>10</v>
      </c>
      <c r="AR13" s="339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8"/>
      <c r="BR13" s="318"/>
      <c r="BS13" s="318"/>
    </row>
    <row r="14" spans="2:71" s="6" customFormat="1" ht="30" customHeight="1">
      <c r="B14" s="915"/>
      <c r="C14" s="136" t="s">
        <v>11</v>
      </c>
      <c r="D14" s="1143" t="str" cm="1">
        <f t="array" aca="1" ref="D14" ca="1">INDIRECT( "_"&amp;LEFT(Codigo,3)&amp;"1")</f>
        <v>Administración Pública</v>
      </c>
      <c r="E14" s="1144"/>
      <c r="F14" s="1145"/>
      <c r="G14" s="656"/>
      <c r="H14" s="656"/>
      <c r="I14" s="656"/>
      <c r="J14" s="656"/>
      <c r="K14" s="656"/>
      <c r="L14" s="656"/>
      <c r="M14" s="656"/>
      <c r="N14" s="916"/>
      <c r="O14" s="318"/>
      <c r="P14" s="318"/>
      <c r="Q14" s="341"/>
      <c r="R14" s="341"/>
      <c r="S14" s="657" t="s">
        <v>12</v>
      </c>
      <c r="T14" s="342" t="s">
        <v>13</v>
      </c>
      <c r="U14" s="318"/>
      <c r="V14" s="318"/>
      <c r="W14" s="318"/>
      <c r="X14" s="318"/>
      <c r="Y14" s="318"/>
      <c r="Z14" s="318"/>
      <c r="AA14" s="318"/>
      <c r="AB14" s="318"/>
      <c r="AC14" s="318"/>
      <c r="AD14" s="318"/>
      <c r="AE14" s="318"/>
      <c r="AF14" s="318"/>
      <c r="AG14" s="318"/>
      <c r="AH14" s="318"/>
      <c r="AI14" s="318"/>
      <c r="AJ14" s="318"/>
      <c r="AK14" s="318"/>
      <c r="AL14" s="318"/>
      <c r="AM14" s="318"/>
      <c r="AN14" s="840" t="s">
        <v>14</v>
      </c>
      <c r="AO14" s="840" t="s">
        <v>12</v>
      </c>
      <c r="AP14" s="840" t="s">
        <v>15</v>
      </c>
      <c r="AQ14" s="840" t="s">
        <v>16</v>
      </c>
      <c r="AR14" s="339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8"/>
      <c r="BR14" s="318"/>
      <c r="BS14" s="318"/>
    </row>
    <row r="15" spans="2:71" s="6" customFormat="1" ht="30" customHeight="1">
      <c r="B15" s="915"/>
      <c r="C15" s="136" t="s">
        <v>17</v>
      </c>
      <c r="D15" s="1143" t="str" cm="1">
        <f t="array" aca="1" ref="D15" ca="1">INDIRECT("_"&amp;LEFT(Codigo,3)&amp;"2")</f>
        <v>Mayoritaria</v>
      </c>
      <c r="E15" s="1144"/>
      <c r="F15" s="1145"/>
      <c r="G15" s="656"/>
      <c r="H15" s="656"/>
      <c r="I15" s="656"/>
      <c r="J15" s="656"/>
      <c r="K15" s="656"/>
      <c r="L15" s="656"/>
      <c r="M15" s="656"/>
      <c r="N15" s="916"/>
      <c r="O15" s="318"/>
      <c r="P15" s="318"/>
      <c r="Q15" s="341"/>
      <c r="R15" s="341"/>
      <c r="S15" s="657" t="s">
        <v>15</v>
      </c>
      <c r="T15" s="342" t="s">
        <v>18</v>
      </c>
      <c r="U15" s="318"/>
      <c r="V15" s="318"/>
      <c r="W15" s="318"/>
      <c r="X15" s="318"/>
      <c r="Y15" s="318"/>
      <c r="Z15" s="318"/>
      <c r="AA15" s="318"/>
      <c r="AB15" s="318"/>
      <c r="AC15" s="318"/>
      <c r="AD15" s="318"/>
      <c r="AE15" s="318"/>
      <c r="AF15" s="318"/>
      <c r="AG15" s="318"/>
      <c r="AH15" s="318"/>
      <c r="AI15" s="318"/>
      <c r="AJ15" s="318"/>
      <c r="AK15" s="318"/>
      <c r="AL15" s="318"/>
      <c r="AM15" s="318"/>
      <c r="AN15" s="840" t="s">
        <v>19</v>
      </c>
      <c r="AO15" s="840" t="s">
        <v>12</v>
      </c>
      <c r="AP15" s="840" t="s">
        <v>15</v>
      </c>
      <c r="AQ15" s="840" t="s">
        <v>20</v>
      </c>
      <c r="AR15" s="339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8"/>
      <c r="BR15" s="318"/>
      <c r="BS15" s="318"/>
    </row>
    <row r="16" spans="2:71" s="2" customFormat="1" ht="30" customHeight="1">
      <c r="B16" s="915"/>
      <c r="C16" s="136" t="s">
        <v>21</v>
      </c>
      <c r="D16" s="658">
        <v>2025</v>
      </c>
      <c r="E16" s="339"/>
      <c r="F16" s="339"/>
      <c r="G16" s="339"/>
      <c r="H16" s="339"/>
      <c r="I16" s="339"/>
      <c r="J16" s="339"/>
      <c r="K16" s="339"/>
      <c r="L16" s="339"/>
      <c r="M16" s="339"/>
      <c r="N16" s="916"/>
      <c r="O16" s="339"/>
      <c r="P16" s="339"/>
      <c r="Q16" s="340"/>
      <c r="R16" s="340"/>
      <c r="S16" s="342"/>
      <c r="T16" s="340"/>
      <c r="U16" s="339"/>
      <c r="V16" s="339"/>
      <c r="W16" s="339"/>
      <c r="X16" s="339"/>
      <c r="Y16" s="339"/>
      <c r="Z16" s="339"/>
      <c r="AA16" s="339"/>
      <c r="AB16" s="339"/>
      <c r="AC16" s="339"/>
      <c r="AD16" s="339"/>
      <c r="AE16" s="339"/>
      <c r="AF16" s="339"/>
      <c r="AG16" s="339"/>
      <c r="AH16" s="339"/>
      <c r="AI16" s="339"/>
      <c r="AJ16" s="339"/>
      <c r="AK16" s="339"/>
      <c r="AL16" s="339"/>
      <c r="AM16" s="339"/>
      <c r="AN16" s="840" t="s">
        <v>6</v>
      </c>
      <c r="AO16" s="840" t="s">
        <v>12</v>
      </c>
      <c r="AP16" s="840" t="s">
        <v>22</v>
      </c>
      <c r="AQ16" s="840" t="s">
        <v>23</v>
      </c>
      <c r="AR16" s="339"/>
      <c r="AS16" s="339"/>
      <c r="AT16" s="339"/>
      <c r="AU16" s="339"/>
      <c r="AV16" s="339"/>
      <c r="AW16" s="339"/>
      <c r="AX16" s="339"/>
      <c r="AY16" s="339"/>
      <c r="AZ16" s="339"/>
      <c r="BA16" s="339"/>
      <c r="BB16" s="339"/>
      <c r="BC16" s="339"/>
      <c r="BD16" s="339"/>
      <c r="BE16" s="339"/>
      <c r="BF16" s="339"/>
      <c r="BG16" s="339"/>
      <c r="BH16" s="339"/>
      <c r="BI16" s="339"/>
      <c r="BJ16" s="339"/>
      <c r="BK16" s="339"/>
      <c r="BL16" s="339"/>
      <c r="BM16" s="339"/>
      <c r="BN16" s="339"/>
      <c r="BO16" s="339"/>
      <c r="BP16" s="339"/>
      <c r="BQ16" s="339"/>
      <c r="BR16" s="339"/>
      <c r="BS16" s="339"/>
    </row>
    <row r="17" spans="2:44" s="2" customFormat="1" ht="30" customHeight="1">
      <c r="B17" s="915"/>
      <c r="C17" s="1"/>
      <c r="D17" s="1142"/>
      <c r="E17" s="1142"/>
      <c r="F17" s="1142"/>
      <c r="G17" s="1142"/>
      <c r="H17" s="1142"/>
      <c r="I17" s="1142"/>
      <c r="J17" s="1142"/>
      <c r="K17" s="1142"/>
      <c r="L17" s="1142"/>
      <c r="M17" s="1142"/>
      <c r="N17" s="916"/>
      <c r="O17" s="339"/>
      <c r="P17" s="339"/>
      <c r="Q17" s="340"/>
      <c r="R17" s="340"/>
      <c r="S17" s="340"/>
      <c r="T17" s="340"/>
      <c r="U17" s="339"/>
      <c r="V17" s="339"/>
      <c r="W17" s="339"/>
      <c r="X17" s="339"/>
      <c r="Y17" s="339"/>
      <c r="Z17" s="339"/>
      <c r="AA17" s="339"/>
      <c r="AB17" s="339"/>
      <c r="AC17" s="339"/>
      <c r="AD17" s="339"/>
      <c r="AE17" s="339"/>
      <c r="AF17" s="339"/>
      <c r="AG17" s="339"/>
      <c r="AH17" s="339"/>
      <c r="AI17" s="339"/>
      <c r="AJ17" s="339"/>
      <c r="AK17" s="339"/>
      <c r="AL17" s="339"/>
      <c r="AM17" s="339"/>
      <c r="AN17" t="s">
        <v>24</v>
      </c>
      <c r="AO17" t="s">
        <v>12</v>
      </c>
      <c r="AP17" t="s">
        <v>22</v>
      </c>
      <c r="AQ17" s="840" t="s">
        <v>25</v>
      </c>
      <c r="AR17" s="339"/>
    </row>
    <row r="18" spans="2:44" s="2" customFormat="1" ht="30" customHeight="1">
      <c r="B18" s="915"/>
      <c r="C18" s="137" t="s">
        <v>26</v>
      </c>
      <c r="D18" s="919"/>
      <c r="E18" s="919"/>
      <c r="F18" s="919"/>
      <c r="G18" s="919"/>
      <c r="H18" s="919"/>
      <c r="I18" s="919"/>
      <c r="J18" s="919"/>
      <c r="K18" s="919"/>
      <c r="L18" s="919"/>
      <c r="M18" s="919"/>
      <c r="N18" s="916"/>
      <c r="O18" s="339"/>
      <c r="P18" s="339"/>
      <c r="Q18" s="340"/>
      <c r="R18" s="340"/>
      <c r="S18" s="340"/>
      <c r="T18" s="340"/>
      <c r="U18" s="339"/>
      <c r="V18" s="339"/>
      <c r="W18" s="339"/>
      <c r="X18" s="339"/>
      <c r="Y18" s="339"/>
      <c r="Z18" s="339"/>
      <c r="AA18" s="339"/>
      <c r="AB18" s="339"/>
      <c r="AC18" s="339"/>
      <c r="AD18" s="339"/>
      <c r="AE18" s="339"/>
      <c r="AF18" s="339"/>
      <c r="AG18" s="339"/>
      <c r="AH18" s="339"/>
      <c r="AI18" s="339"/>
      <c r="AJ18" s="339"/>
      <c r="AK18" s="339"/>
      <c r="AL18" s="339"/>
      <c r="AM18" s="339"/>
      <c r="AN18"/>
      <c r="AO18"/>
      <c r="AP18"/>
      <c r="AQ18" s="840"/>
      <c r="AR18" s="339"/>
    </row>
    <row r="19" spans="2:44" s="2" customFormat="1" ht="9" customHeight="1">
      <c r="B19" s="915"/>
      <c r="C19" s="1"/>
      <c r="D19" s="892"/>
      <c r="E19" s="892"/>
      <c r="F19" s="892"/>
      <c r="G19" s="892"/>
      <c r="H19" s="892"/>
      <c r="I19" s="892"/>
      <c r="J19" s="892"/>
      <c r="K19" s="892"/>
      <c r="L19" s="892"/>
      <c r="M19" s="892"/>
      <c r="N19" s="916"/>
      <c r="O19" s="339"/>
      <c r="P19" s="339"/>
      <c r="Q19" s="340"/>
      <c r="R19" s="340"/>
      <c r="S19" s="340"/>
      <c r="T19" s="340"/>
      <c r="U19" s="339"/>
      <c r="V19" s="339"/>
      <c r="W19" s="339"/>
      <c r="X19" s="339"/>
      <c r="Y19" s="339"/>
      <c r="Z19" s="339"/>
      <c r="AA19" s="339"/>
      <c r="AB19" s="339"/>
      <c r="AC19" s="339"/>
      <c r="AD19" s="339"/>
      <c r="AE19" s="339"/>
      <c r="AF19" s="339"/>
      <c r="AG19" s="339"/>
      <c r="AH19" s="339"/>
      <c r="AI19" s="339"/>
      <c r="AJ19" s="339"/>
      <c r="AK19" s="339"/>
      <c r="AL19" s="339"/>
      <c r="AM19" s="339"/>
      <c r="AN19" s="339"/>
      <c r="AO19" s="339"/>
      <c r="AP19" s="339"/>
      <c r="AQ19" s="339"/>
      <c r="AR19" s="339"/>
    </row>
    <row r="20" spans="2:44" s="6" customFormat="1" ht="25.2" customHeight="1">
      <c r="B20" s="319"/>
      <c r="C20" s="571"/>
      <c r="D20" s="318" t="s">
        <v>27</v>
      </c>
      <c r="E20" s="599"/>
      <c r="F20" s="599"/>
      <c r="G20" s="599"/>
      <c r="H20" s="599"/>
      <c r="I20" s="599"/>
      <c r="J20" s="599"/>
      <c r="K20" s="599"/>
      <c r="L20" s="599"/>
      <c r="M20" s="599"/>
      <c r="N20" s="322"/>
      <c r="O20" s="318"/>
      <c r="P20" s="318"/>
      <c r="Q20" s="341"/>
      <c r="R20" s="341"/>
      <c r="S20" s="341"/>
      <c r="T20" s="341"/>
      <c r="U20" s="318"/>
      <c r="V20" s="318"/>
      <c r="W20" s="318"/>
      <c r="X20" s="318"/>
      <c r="Y20" s="318"/>
      <c r="Z20" s="318"/>
      <c r="AA20" s="318"/>
      <c r="AB20" s="318"/>
      <c r="AC20" s="318"/>
      <c r="AD20" s="318"/>
      <c r="AE20" s="318"/>
      <c r="AF20" s="318"/>
      <c r="AG20" s="318"/>
      <c r="AH20" s="318"/>
      <c r="AI20" s="318"/>
      <c r="AJ20" s="318"/>
      <c r="AK20" s="318"/>
      <c r="AL20" s="318"/>
      <c r="AM20" s="318"/>
      <c r="AN20" s="318"/>
      <c r="AO20" s="318"/>
      <c r="AP20" s="318"/>
      <c r="AQ20" s="318"/>
      <c r="AR20" s="318"/>
    </row>
    <row r="21" spans="2:44" s="6" customFormat="1" ht="25.2" customHeight="1">
      <c r="B21" s="319"/>
      <c r="C21" s="318"/>
      <c r="D21" s="318" t="s">
        <v>28</v>
      </c>
      <c r="E21" s="599"/>
      <c r="F21" s="599"/>
      <c r="G21" s="599"/>
      <c r="H21" s="599"/>
      <c r="I21" s="599"/>
      <c r="J21" s="599"/>
      <c r="K21" s="599"/>
      <c r="L21" s="599"/>
      <c r="M21" s="599"/>
      <c r="N21" s="322"/>
      <c r="O21" s="318"/>
      <c r="P21" s="318"/>
      <c r="Q21" s="341"/>
      <c r="R21" s="341"/>
      <c r="S21" s="341"/>
      <c r="T21" s="341"/>
      <c r="U21" s="318"/>
      <c r="V21" s="318"/>
      <c r="W21" s="318"/>
      <c r="X21" s="318"/>
      <c r="Y21" s="318"/>
      <c r="Z21" s="318"/>
      <c r="AA21" s="318"/>
      <c r="AB21" s="318"/>
      <c r="AC21" s="318"/>
      <c r="AD21" s="318"/>
      <c r="AE21" s="318"/>
      <c r="AF21" s="318"/>
      <c r="AG21" s="318"/>
      <c r="AH21" s="318"/>
      <c r="AI21" s="318"/>
      <c r="AJ21" s="318"/>
      <c r="AK21" s="318"/>
      <c r="AL21" s="318"/>
      <c r="AM21" s="318"/>
      <c r="AN21" s="318"/>
      <c r="AO21" s="318"/>
      <c r="AP21" s="318"/>
      <c r="AQ21" s="318"/>
      <c r="AR21" s="318"/>
    </row>
    <row r="22" spans="2:44" s="6" customFormat="1" ht="25.2" customHeight="1">
      <c r="B22" s="319"/>
      <c r="C22" s="318"/>
      <c r="D22" s="318" t="s">
        <v>29</v>
      </c>
      <c r="E22" s="318"/>
      <c r="F22" s="318"/>
      <c r="G22" s="318"/>
      <c r="H22" s="318"/>
      <c r="I22" s="318"/>
      <c r="J22" s="318"/>
      <c r="K22" s="318"/>
      <c r="L22" s="318"/>
      <c r="M22" s="318"/>
      <c r="N22" s="322"/>
      <c r="O22" s="318"/>
      <c r="P22" s="318"/>
      <c r="Q22" s="341"/>
      <c r="R22" s="341"/>
      <c r="S22" s="341"/>
      <c r="T22" s="341"/>
      <c r="U22" s="318"/>
      <c r="V22" s="318"/>
      <c r="W22" s="318"/>
      <c r="X22" s="318"/>
      <c r="Y22" s="318"/>
      <c r="Z22" s="318"/>
      <c r="AA22" s="318"/>
      <c r="AB22" s="318"/>
      <c r="AC22" s="318"/>
      <c r="AD22" s="318"/>
      <c r="AE22" s="318"/>
      <c r="AF22" s="318"/>
      <c r="AG22" s="318"/>
      <c r="AH22" s="318"/>
      <c r="AI22" s="318"/>
      <c r="AJ22" s="318"/>
      <c r="AK22" s="318"/>
      <c r="AL22" s="318"/>
      <c r="AM22" s="318"/>
      <c r="AN22" s="318"/>
      <c r="AO22" s="318"/>
      <c r="AP22" s="318"/>
      <c r="AQ22" s="318"/>
      <c r="AR22" s="318"/>
    </row>
    <row r="23" spans="2:44" s="6" customFormat="1" ht="25.2" customHeight="1">
      <c r="B23" s="319"/>
      <c r="C23" s="318"/>
      <c r="D23" s="318" t="s">
        <v>30</v>
      </c>
      <c r="E23" s="318"/>
      <c r="F23" s="318"/>
      <c r="G23" s="318"/>
      <c r="H23" s="318"/>
      <c r="I23" s="318"/>
      <c r="J23" s="318"/>
      <c r="K23" s="318"/>
      <c r="L23" s="318"/>
      <c r="M23" s="318"/>
      <c r="N23" s="322"/>
      <c r="O23" s="318"/>
      <c r="P23" s="318"/>
      <c r="Q23" s="341"/>
      <c r="R23" s="341"/>
      <c r="S23" s="341"/>
      <c r="T23" s="341"/>
      <c r="U23" s="318"/>
      <c r="V23" s="318"/>
      <c r="W23" s="318"/>
      <c r="X23" s="318"/>
      <c r="Y23" s="318"/>
      <c r="Z23" s="318"/>
      <c r="AA23" s="318"/>
      <c r="AB23" s="318"/>
      <c r="AC23" s="318"/>
      <c r="AD23" s="318"/>
      <c r="AE23" s="318"/>
      <c r="AF23" s="318"/>
      <c r="AG23" s="318"/>
      <c r="AH23" s="318"/>
      <c r="AI23" s="318"/>
      <c r="AJ23" s="318"/>
      <c r="AK23" s="318"/>
      <c r="AL23" s="318"/>
      <c r="AM23" s="318"/>
      <c r="AN23" s="318"/>
      <c r="AO23" s="318"/>
      <c r="AP23" s="318"/>
      <c r="AQ23" s="318"/>
      <c r="AR23" s="318"/>
    </row>
    <row r="24" spans="2:44" s="6" customFormat="1" ht="25.2" customHeight="1">
      <c r="B24" s="319"/>
      <c r="C24" s="318"/>
      <c r="D24" s="318" t="s">
        <v>31</v>
      </c>
      <c r="E24" s="318"/>
      <c r="F24" s="318"/>
      <c r="G24" s="318"/>
      <c r="H24" s="318"/>
      <c r="I24" s="318"/>
      <c r="J24" s="318"/>
      <c r="K24" s="318"/>
      <c r="L24" s="318"/>
      <c r="M24" s="318"/>
      <c r="N24" s="322"/>
      <c r="O24" s="318"/>
      <c r="P24" s="318"/>
      <c r="Q24" s="341"/>
      <c r="R24" s="341"/>
      <c r="S24" s="341"/>
      <c r="T24" s="341"/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318"/>
      <c r="AJ24" s="318"/>
      <c r="AK24" s="318"/>
      <c r="AL24" s="318"/>
      <c r="AM24" s="318"/>
      <c r="AN24" s="318"/>
      <c r="AO24" s="318"/>
      <c r="AP24" s="318"/>
      <c r="AQ24" s="318"/>
      <c r="AR24" s="318"/>
    </row>
    <row r="25" spans="2:44" s="6" customFormat="1" ht="25.2" customHeight="1">
      <c r="B25" s="319"/>
      <c r="C25" s="318"/>
      <c r="D25" s="318" t="s">
        <v>32</v>
      </c>
      <c r="E25" s="318"/>
      <c r="F25" s="318"/>
      <c r="G25" s="318"/>
      <c r="H25" s="318"/>
      <c r="I25" s="318"/>
      <c r="J25" s="318"/>
      <c r="K25" s="318"/>
      <c r="L25" s="318"/>
      <c r="M25" s="318"/>
      <c r="N25" s="322"/>
      <c r="O25" s="318"/>
      <c r="P25" s="318"/>
      <c r="Q25" s="341"/>
      <c r="R25" s="341"/>
      <c r="S25" s="341"/>
      <c r="T25" s="341"/>
      <c r="U25" s="318"/>
      <c r="V25" s="318"/>
      <c r="W25" s="318"/>
      <c r="X25" s="318"/>
      <c r="Y25" s="318"/>
      <c r="Z25" s="318"/>
      <c r="AA25" s="318"/>
      <c r="AB25" s="318"/>
      <c r="AC25" s="318"/>
      <c r="AD25" s="318"/>
      <c r="AE25" s="318"/>
      <c r="AF25" s="318"/>
      <c r="AG25" s="318"/>
      <c r="AH25" s="318"/>
      <c r="AI25" s="318"/>
      <c r="AJ25" s="318"/>
      <c r="AK25" s="318"/>
      <c r="AL25" s="318"/>
      <c r="AM25" s="318"/>
      <c r="AN25" s="318"/>
      <c r="AO25" s="318"/>
      <c r="AP25" s="318"/>
      <c r="AQ25" s="318"/>
      <c r="AR25" s="318"/>
    </row>
    <row r="26" spans="2:44" s="6" customFormat="1" ht="25.2" customHeight="1">
      <c r="B26" s="319"/>
      <c r="C26" s="318"/>
      <c r="D26" s="318" t="s">
        <v>33</v>
      </c>
      <c r="E26" s="318"/>
      <c r="F26" s="318"/>
      <c r="G26" s="318"/>
      <c r="H26" s="318"/>
      <c r="I26" s="318"/>
      <c r="J26" s="318"/>
      <c r="K26" s="318"/>
      <c r="L26" s="318"/>
      <c r="M26" s="318"/>
      <c r="N26" s="322"/>
      <c r="O26" s="318"/>
      <c r="P26" s="318"/>
      <c r="Q26" s="341"/>
      <c r="R26" s="341"/>
      <c r="S26" s="341"/>
      <c r="T26" s="341"/>
      <c r="U26" s="318"/>
      <c r="V26" s="318"/>
      <c r="W26" s="318"/>
      <c r="X26" s="318"/>
      <c r="Y26" s="318"/>
      <c r="Z26" s="318"/>
      <c r="AA26" s="318"/>
      <c r="AB26" s="318"/>
      <c r="AC26" s="318"/>
      <c r="AD26" s="318"/>
      <c r="AE26" s="318"/>
      <c r="AF26" s="318"/>
      <c r="AG26" s="318"/>
      <c r="AH26" s="318"/>
      <c r="AI26" s="318"/>
      <c r="AJ26" s="318"/>
      <c r="AK26" s="318"/>
      <c r="AL26" s="318"/>
      <c r="AM26" s="318"/>
      <c r="AN26" s="318"/>
      <c r="AO26" s="318"/>
      <c r="AP26" s="318"/>
      <c r="AQ26" s="318"/>
      <c r="AR26" s="318"/>
    </row>
    <row r="27" spans="2:44" s="6" customFormat="1" ht="25.2" customHeight="1">
      <c r="B27" s="319"/>
      <c r="C27" s="318"/>
      <c r="D27" s="318" t="s">
        <v>34</v>
      </c>
      <c r="E27" s="318"/>
      <c r="F27" s="318"/>
      <c r="G27" s="318"/>
      <c r="H27" s="318"/>
      <c r="I27" s="318"/>
      <c r="J27" s="318"/>
      <c r="K27" s="318"/>
      <c r="L27" s="318"/>
      <c r="M27" s="318"/>
      <c r="N27" s="322"/>
      <c r="O27" s="318"/>
      <c r="P27" s="318"/>
      <c r="Q27" s="318"/>
      <c r="R27" s="318"/>
      <c r="S27" s="318"/>
      <c r="T27" s="318"/>
      <c r="U27" s="318"/>
      <c r="V27" s="318"/>
      <c r="W27" s="318"/>
      <c r="X27" s="318"/>
      <c r="Y27" s="318"/>
      <c r="Z27" s="318"/>
      <c r="AA27" s="318"/>
      <c r="AB27" s="318"/>
      <c r="AC27" s="318"/>
      <c r="AD27" s="318"/>
      <c r="AE27" s="318"/>
      <c r="AF27" s="318"/>
      <c r="AG27" s="318"/>
      <c r="AH27" s="318"/>
      <c r="AI27" s="318"/>
      <c r="AJ27" s="318"/>
      <c r="AK27" s="318"/>
      <c r="AL27" s="318"/>
      <c r="AM27" s="318"/>
      <c r="AN27" s="318"/>
      <c r="AO27" s="318"/>
      <c r="AP27" s="318"/>
      <c r="AQ27" s="318"/>
      <c r="AR27" s="318"/>
    </row>
    <row r="28" spans="2:44" s="6" customFormat="1" ht="25.2" customHeight="1">
      <c r="B28" s="319"/>
      <c r="C28" s="318"/>
      <c r="D28" s="318" t="s">
        <v>35</v>
      </c>
      <c r="E28" s="318"/>
      <c r="F28" s="318"/>
      <c r="G28" s="318"/>
      <c r="H28" s="318"/>
      <c r="I28" s="318"/>
      <c r="J28" s="318"/>
      <c r="K28" s="318"/>
      <c r="L28" s="318"/>
      <c r="M28" s="318"/>
      <c r="N28" s="322"/>
      <c r="O28" s="318"/>
      <c r="P28" s="318"/>
      <c r="Q28" s="318"/>
      <c r="R28" s="318"/>
      <c r="S28" s="318"/>
      <c r="T28" s="318"/>
      <c r="U28" s="318"/>
      <c r="V28" s="318"/>
      <c r="W28" s="318"/>
      <c r="X28" s="318"/>
      <c r="Y28" s="318"/>
      <c r="Z28" s="318"/>
      <c r="AA28" s="318"/>
      <c r="AB28" s="318"/>
      <c r="AC28" s="318"/>
      <c r="AD28" s="318"/>
      <c r="AE28" s="318"/>
      <c r="AF28" s="318"/>
      <c r="AG28" s="318"/>
      <c r="AH28" s="318"/>
      <c r="AI28" s="318"/>
      <c r="AJ28" s="318"/>
      <c r="AK28" s="318"/>
      <c r="AL28" s="318"/>
      <c r="AM28" s="318"/>
      <c r="AN28" s="318"/>
      <c r="AO28" s="318"/>
      <c r="AP28" s="318"/>
      <c r="AQ28" s="318"/>
      <c r="AR28" s="318"/>
    </row>
    <row r="29" spans="2:44" s="6" customFormat="1" ht="25.2" customHeight="1">
      <c r="B29" s="319"/>
      <c r="C29" s="318"/>
      <c r="D29" s="318" t="s">
        <v>36</v>
      </c>
      <c r="E29" s="318"/>
      <c r="F29" s="318"/>
      <c r="G29" s="318"/>
      <c r="H29" s="318"/>
      <c r="I29" s="318"/>
      <c r="J29" s="318"/>
      <c r="K29" s="318"/>
      <c r="L29" s="318"/>
      <c r="M29" s="318"/>
      <c r="N29" s="322"/>
      <c r="O29" s="318"/>
      <c r="P29" s="318"/>
      <c r="Q29" s="318"/>
      <c r="R29" s="318"/>
      <c r="S29" s="318"/>
      <c r="T29" s="318"/>
      <c r="U29" s="318"/>
      <c r="V29" s="318"/>
      <c r="W29" s="318"/>
      <c r="X29" s="318"/>
      <c r="Y29" s="318"/>
      <c r="Z29" s="318"/>
      <c r="AA29" s="318"/>
      <c r="AB29" s="318"/>
      <c r="AC29" s="318"/>
      <c r="AD29" s="318"/>
      <c r="AE29" s="318"/>
      <c r="AF29" s="318"/>
      <c r="AG29" s="318"/>
      <c r="AH29" s="318"/>
      <c r="AI29" s="318"/>
      <c r="AJ29" s="318"/>
      <c r="AK29" s="318"/>
      <c r="AL29" s="318"/>
      <c r="AM29" s="318"/>
      <c r="AN29" s="318"/>
      <c r="AO29" s="318"/>
      <c r="AP29" s="318"/>
      <c r="AQ29" s="318"/>
      <c r="AR29" s="318"/>
    </row>
    <row r="30" spans="2:44" s="6" customFormat="1" ht="25.2" customHeight="1">
      <c r="B30" s="319"/>
      <c r="C30" s="318"/>
      <c r="D30" s="318" t="s">
        <v>37</v>
      </c>
      <c r="E30" s="318"/>
      <c r="F30" s="318"/>
      <c r="G30" s="318"/>
      <c r="H30" s="318"/>
      <c r="I30" s="318"/>
      <c r="J30" s="318"/>
      <c r="K30" s="318"/>
      <c r="L30" s="318"/>
      <c r="M30" s="318"/>
      <c r="N30" s="322"/>
      <c r="O30" s="318"/>
      <c r="P30" s="318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318"/>
      <c r="AB30" s="318"/>
      <c r="AC30" s="318"/>
      <c r="AD30" s="318"/>
      <c r="AE30" s="318"/>
      <c r="AF30" s="318"/>
      <c r="AG30" s="318"/>
      <c r="AH30" s="318"/>
      <c r="AI30" s="318"/>
      <c r="AJ30" s="318"/>
      <c r="AK30" s="318"/>
      <c r="AL30" s="318"/>
      <c r="AM30" s="318"/>
      <c r="AN30" s="318"/>
      <c r="AO30" s="318"/>
      <c r="AP30" s="318"/>
      <c r="AQ30" s="318"/>
      <c r="AR30" s="318"/>
    </row>
    <row r="31" spans="2:44" s="6" customFormat="1" ht="25.2" customHeight="1">
      <c r="B31" s="319"/>
      <c r="C31" s="318"/>
      <c r="D31" s="318" t="s">
        <v>38</v>
      </c>
      <c r="E31" s="318"/>
      <c r="F31" s="318"/>
      <c r="G31" s="318"/>
      <c r="H31" s="318"/>
      <c r="I31" s="318"/>
      <c r="J31" s="318"/>
      <c r="K31" s="318"/>
      <c r="L31" s="318"/>
      <c r="M31" s="318"/>
      <c r="N31" s="322"/>
      <c r="O31" s="318"/>
      <c r="P31" s="318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  <c r="AD31" s="318"/>
      <c r="AE31" s="318"/>
      <c r="AF31" s="318"/>
      <c r="AG31" s="318"/>
      <c r="AH31" s="318"/>
      <c r="AI31" s="318"/>
      <c r="AJ31" s="318"/>
      <c r="AK31" s="318"/>
      <c r="AL31" s="318"/>
      <c r="AM31" s="318"/>
      <c r="AN31" s="318"/>
      <c r="AO31" s="318"/>
      <c r="AP31" s="318"/>
      <c r="AQ31" s="318"/>
      <c r="AR31" s="318"/>
    </row>
    <row r="32" spans="2:44" s="6" customFormat="1" ht="25.2" customHeight="1">
      <c r="B32" s="319"/>
      <c r="C32" s="318"/>
      <c r="D32" s="318" t="s">
        <v>39</v>
      </c>
      <c r="E32" s="318"/>
      <c r="F32" s="318"/>
      <c r="G32" s="318"/>
      <c r="H32" s="318"/>
      <c r="I32" s="318"/>
      <c r="J32" s="318"/>
      <c r="K32" s="318"/>
      <c r="L32" s="318"/>
      <c r="M32" s="318"/>
      <c r="N32" s="322"/>
      <c r="O32" s="318"/>
      <c r="P32" s="318"/>
      <c r="Q32" s="318"/>
      <c r="R32" s="318"/>
      <c r="S32" s="318"/>
      <c r="T32" s="318"/>
      <c r="U32" s="318"/>
      <c r="V32" s="318"/>
      <c r="W32" s="318"/>
      <c r="X32" s="318"/>
      <c r="Y32" s="318"/>
      <c r="Z32" s="318"/>
      <c r="AA32" s="318"/>
      <c r="AB32" s="318"/>
      <c r="AC32" s="318"/>
      <c r="AD32" s="318"/>
      <c r="AE32" s="318"/>
      <c r="AF32" s="318"/>
      <c r="AG32" s="318"/>
      <c r="AH32" s="318"/>
      <c r="AI32" s="318"/>
      <c r="AJ32" s="318"/>
      <c r="AK32" s="318"/>
      <c r="AL32" s="318"/>
      <c r="AM32" s="318"/>
      <c r="AN32" s="318"/>
      <c r="AO32" s="318"/>
      <c r="AP32" s="318"/>
      <c r="AQ32" s="318"/>
      <c r="AR32" s="318"/>
    </row>
    <row r="33" spans="2:14" s="6" customFormat="1" ht="25.2" customHeight="1">
      <c r="B33" s="319"/>
      <c r="C33" s="318"/>
      <c r="D33" s="318" t="s">
        <v>40</v>
      </c>
      <c r="E33" s="318"/>
      <c r="F33" s="318"/>
      <c r="G33" s="318"/>
      <c r="H33" s="318"/>
      <c r="I33" s="318"/>
      <c r="J33" s="318"/>
      <c r="K33" s="318"/>
      <c r="L33" s="318"/>
      <c r="M33" s="318"/>
      <c r="N33" s="322"/>
    </row>
    <row r="34" spans="2:14" s="6" customFormat="1" ht="25.2" customHeight="1">
      <c r="B34" s="319"/>
      <c r="C34" s="318"/>
      <c r="D34" s="318" t="s">
        <v>41</v>
      </c>
      <c r="E34" s="318"/>
      <c r="F34" s="318"/>
      <c r="G34" s="318"/>
      <c r="H34" s="318"/>
      <c r="I34" s="318"/>
      <c r="J34" s="318"/>
      <c r="K34" s="318"/>
      <c r="L34" s="318"/>
      <c r="M34" s="318"/>
      <c r="N34" s="322"/>
    </row>
    <row r="35" spans="2:14" s="6" customFormat="1" ht="25.2" customHeight="1">
      <c r="B35" s="319"/>
      <c r="C35" s="318"/>
      <c r="D35" s="318" t="s">
        <v>42</v>
      </c>
      <c r="E35" s="318"/>
      <c r="F35" s="318"/>
      <c r="G35" s="318"/>
      <c r="H35" s="318"/>
      <c r="I35" s="318"/>
      <c r="J35" s="318"/>
      <c r="K35" s="318"/>
      <c r="L35" s="318"/>
      <c r="M35" s="318"/>
      <c r="N35" s="322"/>
    </row>
    <row r="36" spans="2:14" s="6" customFormat="1" ht="25.2" customHeight="1">
      <c r="B36" s="319"/>
      <c r="C36" s="318"/>
      <c r="D36" s="318" t="s">
        <v>43</v>
      </c>
      <c r="E36" s="318"/>
      <c r="F36" s="318"/>
      <c r="G36" s="318"/>
      <c r="H36" s="318"/>
      <c r="I36" s="318"/>
      <c r="J36" s="318"/>
      <c r="K36" s="318"/>
      <c r="L36" s="318"/>
      <c r="M36" s="318"/>
      <c r="N36" s="322"/>
    </row>
    <row r="37" spans="2:14" s="6" customFormat="1" ht="25.2" customHeight="1">
      <c r="B37" s="319"/>
      <c r="C37" s="318"/>
      <c r="D37" s="318" t="s">
        <v>44</v>
      </c>
      <c r="E37" s="318"/>
      <c r="F37" s="318"/>
      <c r="G37" s="318"/>
      <c r="H37" s="318"/>
      <c r="I37" s="318"/>
      <c r="J37" s="318"/>
      <c r="K37" s="318"/>
      <c r="L37" s="318"/>
      <c r="M37" s="318"/>
      <c r="N37" s="322"/>
    </row>
    <row r="38" spans="2:14" s="6" customFormat="1" ht="25.2" customHeight="1">
      <c r="B38" s="319"/>
      <c r="C38" s="318"/>
      <c r="D38" s="318" t="s">
        <v>45</v>
      </c>
      <c r="E38" s="318"/>
      <c r="F38" s="318"/>
      <c r="G38" s="318"/>
      <c r="H38" s="318"/>
      <c r="I38" s="318"/>
      <c r="J38" s="318"/>
      <c r="K38" s="318"/>
      <c r="L38" s="318"/>
      <c r="M38" s="318"/>
      <c r="N38" s="322"/>
    </row>
    <row r="39" spans="2:14" s="6" customFormat="1" ht="25.2" customHeight="1">
      <c r="B39" s="319"/>
      <c r="C39" s="318"/>
      <c r="D39" s="318" t="s">
        <v>46</v>
      </c>
      <c r="E39" s="318"/>
      <c r="F39" s="318"/>
      <c r="G39" s="318"/>
      <c r="H39" s="318"/>
      <c r="I39" s="318"/>
      <c r="J39" s="318"/>
      <c r="K39" s="318"/>
      <c r="L39" s="318"/>
      <c r="M39" s="318"/>
      <c r="N39" s="322"/>
    </row>
    <row r="40" spans="2:14" s="6" customFormat="1" ht="25.2" customHeight="1">
      <c r="B40" s="319"/>
      <c r="C40" s="318"/>
      <c r="D40" s="318" t="s">
        <v>47</v>
      </c>
      <c r="E40" s="318"/>
      <c r="F40" s="318"/>
      <c r="G40" s="318"/>
      <c r="H40" s="318"/>
      <c r="I40" s="318"/>
      <c r="J40" s="318"/>
      <c r="K40" s="318"/>
      <c r="L40" s="318"/>
      <c r="M40" s="318"/>
      <c r="N40" s="322"/>
    </row>
    <row r="41" spans="2:14" s="6" customFormat="1" ht="25.2" customHeight="1">
      <c r="B41" s="319"/>
      <c r="C41" s="318"/>
      <c r="D41" s="318" t="s">
        <v>48</v>
      </c>
      <c r="E41" s="318"/>
      <c r="F41" s="318"/>
      <c r="G41" s="318"/>
      <c r="H41" s="318"/>
      <c r="I41" s="318"/>
      <c r="J41" s="318"/>
      <c r="K41" s="318"/>
      <c r="L41" s="318"/>
      <c r="M41" s="318"/>
      <c r="N41" s="322"/>
    </row>
    <row r="42" spans="2:14" s="2" customFormat="1" ht="25.2" customHeight="1">
      <c r="B42" s="915"/>
      <c r="C42" s="318"/>
      <c r="D42" s="318"/>
      <c r="E42" s="339"/>
      <c r="F42" s="339"/>
      <c r="G42" s="339"/>
      <c r="H42" s="339"/>
      <c r="I42" s="339"/>
      <c r="J42" s="339"/>
      <c r="K42" s="339"/>
      <c r="L42" s="339"/>
      <c r="M42" s="339"/>
      <c r="N42" s="916"/>
    </row>
    <row r="43" spans="2:14" s="2" customFormat="1" ht="25.2" customHeight="1">
      <c r="B43" s="915"/>
      <c r="C43" s="318"/>
      <c r="D43" s="318" t="s">
        <v>49</v>
      </c>
      <c r="E43" s="339"/>
      <c r="F43" s="339"/>
      <c r="G43" s="339"/>
      <c r="H43" s="339"/>
      <c r="I43" s="339"/>
      <c r="J43" s="339"/>
      <c r="K43" s="339"/>
      <c r="L43" s="339"/>
      <c r="M43" s="339"/>
      <c r="N43" s="916"/>
    </row>
    <row r="44" spans="2:14" s="2" customFormat="1" ht="25.2" customHeight="1">
      <c r="B44" s="915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916"/>
    </row>
    <row r="45" spans="2:14" s="2" customFormat="1" ht="25.2" customHeight="1">
      <c r="B45" s="915"/>
      <c r="C45" s="137" t="s">
        <v>50</v>
      </c>
      <c r="D45" s="919"/>
      <c r="E45" s="919"/>
      <c r="F45" s="919"/>
      <c r="G45" s="919"/>
      <c r="H45" s="919"/>
      <c r="I45" s="919"/>
      <c r="J45" s="919"/>
      <c r="K45" s="919"/>
      <c r="L45" s="919"/>
      <c r="M45" s="919"/>
      <c r="N45" s="916"/>
    </row>
    <row r="46" spans="2:14" s="2" customFormat="1" ht="25.2" customHeight="1">
      <c r="B46" s="915"/>
      <c r="C46" s="339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916"/>
    </row>
    <row r="47" spans="2:14" s="2" customFormat="1" ht="25.2" customHeight="1">
      <c r="B47" s="915"/>
      <c r="C47" s="339" t="s">
        <v>51</v>
      </c>
      <c r="D47" s="339"/>
      <c r="E47" s="339"/>
      <c r="F47" s="339"/>
      <c r="G47" s="339"/>
      <c r="H47" s="339"/>
      <c r="I47" s="339"/>
      <c r="J47" s="339"/>
      <c r="K47" s="339"/>
      <c r="L47" s="339"/>
      <c r="M47" s="339"/>
      <c r="N47" s="916"/>
    </row>
    <row r="48" spans="2:14" s="2" customFormat="1" ht="30" customHeight="1" thickBot="1">
      <c r="B48" s="920"/>
      <c r="C48" s="921"/>
      <c r="D48" s="921"/>
      <c r="E48" s="921"/>
      <c r="F48" s="921"/>
      <c r="G48" s="921"/>
      <c r="H48" s="921"/>
      <c r="I48" s="921"/>
      <c r="J48" s="921"/>
      <c r="K48" s="921"/>
      <c r="L48" s="921"/>
      <c r="M48" s="921"/>
      <c r="N48" s="922"/>
    </row>
    <row r="49" spans="3:13" s="2" customFormat="1" ht="30" customHeight="1">
      <c r="C49" s="339"/>
      <c r="D49" s="339"/>
      <c r="E49" s="339"/>
      <c r="F49" s="339"/>
      <c r="G49" s="339"/>
      <c r="H49" s="339"/>
      <c r="I49" s="339"/>
      <c r="J49" s="339"/>
      <c r="K49" s="339"/>
      <c r="L49" s="339"/>
      <c r="M49" s="339"/>
    </row>
    <row r="50" spans="3:13" s="23" customFormat="1" ht="13.2">
      <c r="C50" s="19" t="s">
        <v>52</v>
      </c>
      <c r="G50" s="24"/>
      <c r="M50" s="22" t="s">
        <v>53</v>
      </c>
    </row>
    <row r="51" spans="3:13" s="23" customFormat="1" ht="13.2">
      <c r="C51" s="19" t="s">
        <v>54</v>
      </c>
      <c r="G51" s="24"/>
    </row>
    <row r="52" spans="3:13" s="23" customFormat="1" ht="13.2">
      <c r="C52" s="19" t="s">
        <v>55</v>
      </c>
      <c r="G52" s="24"/>
    </row>
    <row r="53" spans="3:13" s="23" customFormat="1" ht="13.2">
      <c r="C53" s="19" t="s">
        <v>56</v>
      </c>
      <c r="G53" s="24"/>
    </row>
    <row r="54" spans="3:13" s="23" customFormat="1" ht="13.2">
      <c r="C54" s="19" t="s">
        <v>57</v>
      </c>
      <c r="G54" s="24"/>
    </row>
    <row r="55" spans="3:13" s="2" customFormat="1" ht="30" customHeight="1">
      <c r="C55" s="339"/>
      <c r="D55" s="339"/>
      <c r="E55" s="339"/>
      <c r="F55" s="339"/>
      <c r="G55" s="339"/>
      <c r="H55" s="339"/>
      <c r="I55" s="339"/>
      <c r="J55" s="339"/>
      <c r="K55" s="339"/>
      <c r="L55" s="339"/>
      <c r="M55" s="339"/>
    </row>
    <row r="56" spans="3:13" s="2" customFormat="1" ht="30" customHeight="1">
      <c r="C56" s="339"/>
      <c r="D56" s="339"/>
      <c r="E56" s="339"/>
      <c r="F56" s="339"/>
      <c r="G56" s="339"/>
      <c r="H56" s="339"/>
      <c r="I56" s="339"/>
      <c r="J56" s="339"/>
      <c r="K56" s="339"/>
      <c r="L56" s="339"/>
      <c r="M56" s="339"/>
    </row>
    <row r="57" spans="3:13" s="2" customFormat="1" ht="30" customHeight="1"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</row>
    <row r="58" spans="3:13" s="2" customFormat="1" ht="30" customHeight="1">
      <c r="C58" s="339"/>
      <c r="D58" s="339"/>
      <c r="E58" s="339"/>
      <c r="F58" s="339"/>
      <c r="G58" s="339"/>
      <c r="H58" s="339"/>
      <c r="I58" s="339"/>
      <c r="J58" s="339"/>
      <c r="K58" s="339"/>
      <c r="L58" s="339"/>
      <c r="M58" s="339"/>
    </row>
    <row r="59" spans="3:13" s="2" customFormat="1" ht="30" customHeight="1">
      <c r="C59" s="339"/>
      <c r="D59" s="339"/>
      <c r="E59" s="339"/>
      <c r="F59" s="339"/>
      <c r="G59" s="339"/>
      <c r="H59" s="339"/>
      <c r="I59" s="339"/>
      <c r="J59" s="339"/>
      <c r="K59" s="339"/>
      <c r="L59" s="339"/>
      <c r="M59" s="339"/>
    </row>
    <row r="60" spans="3:13" s="2" customFormat="1" ht="30" customHeight="1">
      <c r="C60" s="339"/>
      <c r="D60" s="339"/>
      <c r="E60" s="339"/>
      <c r="F60" s="339"/>
      <c r="G60" s="339"/>
      <c r="H60" s="339"/>
      <c r="I60" s="339"/>
      <c r="J60" s="339"/>
      <c r="K60" s="339"/>
      <c r="L60" s="339"/>
      <c r="M60" s="339"/>
    </row>
    <row r="61" spans="3:13" s="2" customFormat="1" ht="30" customHeight="1">
      <c r="C61" s="339"/>
      <c r="D61" s="339"/>
      <c r="E61" s="339"/>
      <c r="F61" s="339"/>
      <c r="G61" s="339"/>
      <c r="H61" s="339"/>
      <c r="I61" s="339"/>
      <c r="J61" s="339"/>
      <c r="K61" s="339"/>
      <c r="L61" s="339"/>
      <c r="M61" s="339"/>
    </row>
    <row r="62" spans="3:13" s="2" customFormat="1" ht="30" customHeight="1">
      <c r="C62" s="339"/>
      <c r="D62" s="339"/>
      <c r="E62" s="339"/>
      <c r="F62" s="339"/>
      <c r="G62" s="339"/>
      <c r="H62" s="339"/>
      <c r="I62" s="339"/>
      <c r="J62" s="339"/>
      <c r="K62" s="339"/>
      <c r="L62" s="339"/>
      <c r="M62" s="339"/>
    </row>
    <row r="63" spans="3:13" s="2" customFormat="1" ht="30" customHeight="1"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/>
    </row>
    <row r="64" spans="3:13" s="2" customFormat="1" ht="30" customHeight="1"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/>
    </row>
    <row r="65" s="2" customFormat="1" ht="30" customHeight="1"/>
    <row r="66" s="2" customFormat="1" ht="30" customHeight="1"/>
    <row r="67" s="2" customFormat="1" ht="30" customHeight="1"/>
    <row r="68" s="2" customFormat="1" ht="30" customHeight="1"/>
    <row r="69" s="2" customFormat="1" ht="30" customHeight="1"/>
    <row r="70" s="2" customFormat="1" ht="30" customHeight="1"/>
    <row r="71" s="2" customFormat="1" ht="30" customHeight="1"/>
    <row r="72" s="2" customFormat="1" ht="30" customHeight="1"/>
    <row r="73" s="2" customFormat="1" ht="30" customHeight="1"/>
    <row r="74" s="2" customFormat="1" ht="30" customHeight="1"/>
    <row r="75" s="2" customFormat="1" ht="30" customHeight="1"/>
    <row r="76" s="2" customFormat="1" ht="30" customHeight="1"/>
    <row r="77" s="2" customFormat="1" ht="30" customHeight="1"/>
    <row r="78" s="2" customFormat="1" ht="30" customHeight="1"/>
    <row r="79" s="2" customFormat="1" ht="30" customHeight="1"/>
    <row r="80" s="2" customFormat="1" ht="30" customHeight="1"/>
    <row r="81" s="2" customFormat="1" ht="30" customHeight="1"/>
    <row r="82" s="2" customFormat="1" ht="30" customHeight="1"/>
    <row r="83" s="2" customFormat="1" ht="30" customHeight="1"/>
    <row r="84" s="2" customFormat="1" ht="30" customHeight="1"/>
    <row r="85" s="2" customFormat="1" ht="30" customHeight="1"/>
    <row r="86" s="2" customFormat="1" ht="30" customHeight="1"/>
    <row r="87" s="2" customFormat="1" ht="30" customHeight="1"/>
    <row r="88" s="2" customFormat="1" ht="30" customHeight="1"/>
    <row r="89" s="2" customFormat="1" ht="30" customHeight="1"/>
    <row r="90" s="2" customFormat="1" ht="30" customHeight="1"/>
    <row r="91" s="2" customFormat="1" ht="30" customHeight="1"/>
    <row r="92" s="2" customFormat="1" ht="30" customHeigh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="2" customFormat="1"/>
    <row r="162" s="2" customFormat="1"/>
    <row r="163" s="2" customFormat="1"/>
    <row r="164" s="2" customFormat="1"/>
    <row r="165" s="2" customFormat="1"/>
    <row r="166" s="2" customFormat="1"/>
  </sheetData>
  <sheetProtection algorithmName="SHA-512" hashValue="6nqbktF1wd/CugWgrXC8mbe+tzx3YtVHtihzFjBLDLblVpiG1vkgmlfEV7FffpYCVS1QjE+kxzcrEPpabrnAhA==" saltValue="KralMWZ4bp9TbtnB1JsJHQ==" spinCount="100000" sheet="1" objects="1" scenarios="1"/>
  <mergeCells count="5">
    <mergeCell ref="M6:M7"/>
    <mergeCell ref="D13:M13"/>
    <mergeCell ref="D17:M17"/>
    <mergeCell ref="D14:F14"/>
    <mergeCell ref="D15:F15"/>
  </mergeCells>
  <phoneticPr fontId="16" type="noConversion"/>
  <dataValidations count="1">
    <dataValidation type="list" allowBlank="1" showInputMessage="1" showErrorMessage="1" sqref="D13:M13" xr:uid="{00000000-0002-0000-0000-000000000000}">
      <formula1>EE_DD</formula1>
    </dataValidation>
  </dataValidations>
  <pageMargins left="0.75000000000000011" right="0.75000000000000011" top="1" bottom="1" header="0.5" footer="0.5"/>
  <pageSetup paperSize="9" scale="55" orientation="portrait" horizontalDpi="4294967292" verticalDpi="4294967292" r:id="rId1"/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2:AE53"/>
  <sheetViews>
    <sheetView topLeftCell="A6" zoomScaleNormal="100" zoomScalePageLayoutView="125" workbookViewId="0">
      <selection activeCell="I28" sqref="I26:I28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23.1796875" style="31" customWidth="1"/>
    <col min="5" max="14" width="13.453125" style="32" customWidth="1"/>
    <col min="15" max="15" width="40.54296875" style="32" customWidth="1"/>
    <col min="16" max="16" width="3.453125" style="31" customWidth="1"/>
    <col min="17" max="16384" width="10.54296875" style="31"/>
  </cols>
  <sheetData>
    <row r="2" spans="1:31" ht="22.95" customHeight="1">
      <c r="D2" s="318" t="str">
        <f>_GENERAL!D2</f>
        <v>Área de la Presidenta: Igualdad y Diversidad, Hacienda y Proyectos Estratégicos</v>
      </c>
    </row>
    <row r="3" spans="1:31" ht="22.95" customHeight="1">
      <c r="D3" s="318" t="str">
        <f>_GENERAL!D3</f>
        <v>Dirección Insular de Hacienda</v>
      </c>
    </row>
    <row r="4" spans="1:31" ht="22.95" customHeight="1" thickBot="1">
      <c r="A4" s="31" t="s">
        <v>129</v>
      </c>
    </row>
    <row r="5" spans="1:31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6"/>
      <c r="R5" s="700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2"/>
    </row>
    <row r="6" spans="1:31" ht="30" customHeight="1">
      <c r="B6" s="37"/>
      <c r="C6" s="28" t="s">
        <v>2</v>
      </c>
      <c r="O6" s="1138">
        <f>ejercicio</f>
        <v>2025</v>
      </c>
      <c r="P6" s="38"/>
      <c r="R6" s="163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6"/>
    </row>
    <row r="7" spans="1:31" ht="30" customHeight="1">
      <c r="B7" s="37"/>
      <c r="C7" s="28" t="s">
        <v>3</v>
      </c>
      <c r="O7" s="1138"/>
      <c r="P7" s="38"/>
      <c r="R7" s="167"/>
      <c r="S7" s="164" t="s">
        <v>130</v>
      </c>
      <c r="T7" s="168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9"/>
    </row>
    <row r="8" spans="1:31" ht="30" customHeight="1">
      <c r="B8" s="37"/>
      <c r="C8" s="39"/>
      <c r="O8" s="40"/>
      <c r="P8" s="38"/>
      <c r="R8" s="703"/>
      <c r="S8" s="704"/>
      <c r="T8" s="704"/>
      <c r="U8" s="704"/>
      <c r="V8" s="704"/>
      <c r="W8" s="704"/>
      <c r="X8" s="704"/>
      <c r="Y8" s="704"/>
      <c r="Z8" s="704"/>
      <c r="AA8" s="704"/>
      <c r="AB8" s="704"/>
      <c r="AC8" s="704"/>
      <c r="AD8" s="704"/>
      <c r="AE8" s="705"/>
    </row>
    <row r="9" spans="1:31" s="26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825"/>
      <c r="Q9" s="892"/>
      <c r="R9" s="706"/>
      <c r="S9" s="707"/>
      <c r="T9" s="707"/>
      <c r="U9" s="707"/>
      <c r="V9" s="707"/>
      <c r="W9" s="707"/>
      <c r="X9" s="707"/>
      <c r="Y9" s="707"/>
      <c r="Z9" s="707"/>
      <c r="AA9" s="707"/>
      <c r="AB9" s="707"/>
      <c r="AC9" s="707"/>
      <c r="AD9" s="707"/>
      <c r="AE9" s="708"/>
    </row>
    <row r="10" spans="1:31" ht="7.2" customHeight="1">
      <c r="B10" s="37"/>
      <c r="P10" s="38"/>
      <c r="R10" s="706"/>
      <c r="S10" s="707"/>
      <c r="T10" s="707"/>
      <c r="U10" s="707"/>
      <c r="V10" s="707"/>
      <c r="W10" s="707"/>
      <c r="X10" s="707"/>
      <c r="Y10" s="707"/>
      <c r="Z10" s="707"/>
      <c r="AA10" s="707"/>
      <c r="AB10" s="707"/>
      <c r="AC10" s="707"/>
      <c r="AD10" s="707"/>
      <c r="AE10" s="708"/>
    </row>
    <row r="11" spans="1:31" s="45" customFormat="1" ht="30" customHeight="1">
      <c r="B11" s="41"/>
      <c r="C11" s="42" t="s">
        <v>499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4"/>
      <c r="R11" s="706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8"/>
    </row>
    <row r="12" spans="1:31" s="45" customFormat="1" ht="30" customHeight="1">
      <c r="B12" s="41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44"/>
      <c r="R12" s="706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8"/>
    </row>
    <row r="13" spans="1:31" s="48" customFormat="1" ht="22.95" customHeight="1">
      <c r="B13" s="46"/>
      <c r="C13" s="1203"/>
      <c r="D13" s="1204"/>
      <c r="E13" s="83" t="s">
        <v>500</v>
      </c>
      <c r="F13" s="1207" t="s">
        <v>501</v>
      </c>
      <c r="G13" s="1208"/>
      <c r="H13" s="1208"/>
      <c r="I13" s="1208"/>
      <c r="J13" s="1208"/>
      <c r="K13" s="1208"/>
      <c r="L13" s="1209"/>
      <c r="M13" s="83" t="s">
        <v>502</v>
      </c>
      <c r="N13" s="83"/>
      <c r="O13" s="1205" t="s">
        <v>503</v>
      </c>
      <c r="P13" s="47"/>
      <c r="R13" s="706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8"/>
    </row>
    <row r="14" spans="1:31" ht="49.2" customHeight="1">
      <c r="B14" s="37"/>
      <c r="C14" s="92" t="s">
        <v>504</v>
      </c>
      <c r="D14" s="90">
        <f>ejercicio-1</f>
        <v>2024</v>
      </c>
      <c r="E14" s="91">
        <f>ejercicio-1</f>
        <v>2024</v>
      </c>
      <c r="F14" s="87" t="s">
        <v>505</v>
      </c>
      <c r="G14" s="88" t="s">
        <v>506</v>
      </c>
      <c r="H14" s="88" t="s">
        <v>507</v>
      </c>
      <c r="I14" s="88" t="s">
        <v>508</v>
      </c>
      <c r="J14" s="88" t="s">
        <v>509</v>
      </c>
      <c r="K14" s="88" t="s">
        <v>510</v>
      </c>
      <c r="L14" s="89" t="s">
        <v>511</v>
      </c>
      <c r="M14" s="91">
        <f>ejercicio-1</f>
        <v>2024</v>
      </c>
      <c r="N14" s="629" t="s">
        <v>512</v>
      </c>
      <c r="O14" s="1206"/>
      <c r="P14" s="38"/>
      <c r="R14" s="706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8"/>
    </row>
    <row r="15" spans="1:31" s="17" customFormat="1" ht="22.95" customHeight="1">
      <c r="B15" s="46"/>
      <c r="C15" s="631" t="s">
        <v>513</v>
      </c>
      <c r="D15" s="950"/>
      <c r="E15" s="185">
        <v>885.24</v>
      </c>
      <c r="F15" s="965">
        <v>4274.6499999999996</v>
      </c>
      <c r="G15" s="966"/>
      <c r="H15" s="966"/>
      <c r="I15" s="966">
        <v>-906.45</v>
      </c>
      <c r="J15" s="966"/>
      <c r="K15" s="966"/>
      <c r="L15" s="967"/>
      <c r="M15" s="68">
        <f>SUM(E15:L15)</f>
        <v>4253.4399999999996</v>
      </c>
      <c r="N15" s="626"/>
      <c r="O15" s="943"/>
      <c r="P15" s="47"/>
      <c r="R15" s="706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8"/>
    </row>
    <row r="16" spans="1:31" ht="22.95" customHeight="1">
      <c r="B16" s="46"/>
      <c r="C16" s="632" t="s">
        <v>514</v>
      </c>
      <c r="D16" s="953"/>
      <c r="E16" s="186"/>
      <c r="F16" s="968"/>
      <c r="G16" s="663"/>
      <c r="H16" s="663"/>
      <c r="I16" s="663"/>
      <c r="J16" s="663"/>
      <c r="K16" s="663"/>
      <c r="L16" s="969"/>
      <c r="M16" s="70">
        <f t="shared" ref="M16:M19" si="0">SUM(E16:L16)</f>
        <v>0</v>
      </c>
      <c r="N16" s="627"/>
      <c r="O16" s="938"/>
      <c r="P16" s="38"/>
      <c r="R16" s="706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8"/>
    </row>
    <row r="17" spans="2:31" ht="22.95" customHeight="1">
      <c r="B17" s="46"/>
      <c r="C17" s="632" t="s">
        <v>515</v>
      </c>
      <c r="D17" s="953"/>
      <c r="E17" s="186">
        <v>77720.59</v>
      </c>
      <c r="F17" s="968">
        <v>8048.34</v>
      </c>
      <c r="G17" s="663"/>
      <c r="H17" s="663"/>
      <c r="I17" s="663">
        <v>-16666.45</v>
      </c>
      <c r="J17" s="663"/>
      <c r="K17" s="663"/>
      <c r="L17" s="969"/>
      <c r="M17" s="70">
        <f t="shared" si="0"/>
        <v>69102.48</v>
      </c>
      <c r="N17" s="627"/>
      <c r="O17" s="938"/>
      <c r="P17" s="38"/>
      <c r="R17" s="706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8"/>
    </row>
    <row r="18" spans="2:31" ht="22.95" customHeight="1">
      <c r="B18" s="46"/>
      <c r="C18" s="632" t="s">
        <v>516</v>
      </c>
      <c r="D18" s="953"/>
      <c r="E18" s="186"/>
      <c r="F18" s="968"/>
      <c r="G18" s="663"/>
      <c r="H18" s="663"/>
      <c r="I18" s="663"/>
      <c r="J18" s="663"/>
      <c r="K18" s="663"/>
      <c r="L18" s="969"/>
      <c r="M18" s="70">
        <f t="shared" si="0"/>
        <v>0</v>
      </c>
      <c r="N18" s="627"/>
      <c r="O18" s="938"/>
      <c r="P18" s="38"/>
      <c r="R18" s="706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8"/>
    </row>
    <row r="19" spans="2:31" ht="22.95" customHeight="1">
      <c r="B19" s="46"/>
      <c r="C19" s="608" t="s">
        <v>517</v>
      </c>
      <c r="D19" s="670"/>
      <c r="E19" s="187"/>
      <c r="F19" s="970"/>
      <c r="G19" s="971"/>
      <c r="H19" s="971"/>
      <c r="I19" s="971"/>
      <c r="J19" s="971"/>
      <c r="K19" s="971"/>
      <c r="L19" s="972"/>
      <c r="M19" s="71">
        <f t="shared" si="0"/>
        <v>0</v>
      </c>
      <c r="N19" s="628"/>
      <c r="O19" s="940"/>
      <c r="P19" s="38"/>
      <c r="R19" s="706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8"/>
    </row>
    <row r="20" spans="2:31" ht="22.95" customHeight="1" thickBot="1">
      <c r="B20" s="46"/>
      <c r="C20" s="61" t="s">
        <v>518</v>
      </c>
      <c r="D20" s="62"/>
      <c r="E20" s="69">
        <f>SUM(E15:E19)</f>
        <v>78605.83</v>
      </c>
      <c r="F20" s="69">
        <f t="shared" ref="F20:M20" si="1">SUM(F15:F19)</f>
        <v>12322.99</v>
      </c>
      <c r="G20" s="69">
        <f t="shared" si="1"/>
        <v>0</v>
      </c>
      <c r="H20" s="69">
        <f t="shared" si="1"/>
        <v>0</v>
      </c>
      <c r="I20" s="69">
        <f t="shared" si="1"/>
        <v>-17572.900000000001</v>
      </c>
      <c r="J20" s="69">
        <f t="shared" si="1"/>
        <v>0</v>
      </c>
      <c r="K20" s="69">
        <f t="shared" si="1"/>
        <v>0</v>
      </c>
      <c r="L20" s="69">
        <f t="shared" si="1"/>
        <v>0</v>
      </c>
      <c r="M20" s="69">
        <f t="shared" si="1"/>
        <v>73355.92</v>
      </c>
      <c r="N20" s="69">
        <f>SUM(N15:N19)</f>
        <v>0</v>
      </c>
      <c r="O20" s="63"/>
      <c r="P20" s="38"/>
      <c r="R20" s="706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8"/>
    </row>
    <row r="21" spans="2:31" ht="7.95" customHeight="1">
      <c r="B21" s="46"/>
      <c r="C21" s="57"/>
      <c r="D21" s="57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38"/>
      <c r="R21" s="706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8"/>
    </row>
    <row r="22" spans="2:31" ht="22.95" customHeight="1" thickBot="1">
      <c r="B22" s="46"/>
      <c r="C22" s="903" t="s">
        <v>519</v>
      </c>
      <c r="D22" s="904"/>
      <c r="E22" s="973">
        <v>49486.92</v>
      </c>
      <c r="F22" s="974">
        <v>311521.31</v>
      </c>
      <c r="G22" s="975"/>
      <c r="H22" s="975"/>
      <c r="I22" s="975"/>
      <c r="J22" s="975"/>
      <c r="K22" s="975">
        <v>-311008.23</v>
      </c>
      <c r="L22" s="976"/>
      <c r="M22" s="69">
        <f>SUM(E22:L22)</f>
        <v>50000</v>
      </c>
      <c r="N22" s="630"/>
      <c r="O22" s="977"/>
      <c r="P22" s="38"/>
      <c r="R22" s="706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  <c r="AC22" s="707"/>
      <c r="AD22" s="707"/>
      <c r="AE22" s="708"/>
    </row>
    <row r="23" spans="2:31" ht="22.95" customHeight="1">
      <c r="B23" s="46"/>
      <c r="C23" s="45"/>
      <c r="D23" s="45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8"/>
      <c r="R23" s="706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  <c r="AC23" s="707"/>
      <c r="AD23" s="707"/>
      <c r="AE23" s="708"/>
    </row>
    <row r="24" spans="2:31" ht="22.95" customHeight="1">
      <c r="B24" s="46"/>
      <c r="C24" s="1203"/>
      <c r="D24" s="1204"/>
      <c r="E24" s="83" t="s">
        <v>500</v>
      </c>
      <c r="F24" s="1207" t="s">
        <v>501</v>
      </c>
      <c r="G24" s="1208"/>
      <c r="H24" s="1208"/>
      <c r="I24" s="1208"/>
      <c r="J24" s="1208"/>
      <c r="K24" s="1208"/>
      <c r="L24" s="1209"/>
      <c r="M24" s="83" t="s">
        <v>502</v>
      </c>
      <c r="N24" s="83"/>
      <c r="O24" s="1205" t="s">
        <v>503</v>
      </c>
      <c r="P24" s="38"/>
      <c r="R24" s="706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8"/>
    </row>
    <row r="25" spans="2:31" ht="49.2" customHeight="1">
      <c r="B25" s="46"/>
      <c r="C25" s="92" t="s">
        <v>520</v>
      </c>
      <c r="D25" s="90">
        <f>ejercicio</f>
        <v>2025</v>
      </c>
      <c r="E25" s="91">
        <f>ejercicio</f>
        <v>2025</v>
      </c>
      <c r="F25" s="87" t="s">
        <v>505</v>
      </c>
      <c r="G25" s="88" t="s">
        <v>506</v>
      </c>
      <c r="H25" s="88" t="s">
        <v>507</v>
      </c>
      <c r="I25" s="88" t="s">
        <v>508</v>
      </c>
      <c r="J25" s="88" t="s">
        <v>509</v>
      </c>
      <c r="K25" s="88" t="s">
        <v>510</v>
      </c>
      <c r="L25" s="89" t="s">
        <v>511</v>
      </c>
      <c r="M25" s="91">
        <f>ejercicio</f>
        <v>2025</v>
      </c>
      <c r="N25" s="629" t="s">
        <v>512</v>
      </c>
      <c r="O25" s="1206"/>
      <c r="P25" s="38"/>
      <c r="R25" s="706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8"/>
    </row>
    <row r="26" spans="2:31" ht="22.95" customHeight="1">
      <c r="B26" s="46"/>
      <c r="C26" s="631" t="s">
        <v>513</v>
      </c>
      <c r="D26" s="950"/>
      <c r="E26" s="68">
        <f>+M15</f>
        <v>4253.4399999999996</v>
      </c>
      <c r="F26" s="965"/>
      <c r="G26" s="966"/>
      <c r="H26" s="966"/>
      <c r="I26" s="966">
        <v>-1499.99</v>
      </c>
      <c r="J26" s="966"/>
      <c r="K26" s="966"/>
      <c r="L26" s="967"/>
      <c r="M26" s="68">
        <f>SUM(E26:L26)</f>
        <v>2753.45</v>
      </c>
      <c r="N26" s="626"/>
      <c r="O26" s="943"/>
      <c r="P26" s="38"/>
      <c r="R26" s="706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8"/>
    </row>
    <row r="27" spans="2:31" ht="22.95" customHeight="1">
      <c r="B27" s="46"/>
      <c r="C27" s="632" t="s">
        <v>514</v>
      </c>
      <c r="D27" s="953"/>
      <c r="E27" s="70">
        <f>+M16</f>
        <v>0</v>
      </c>
      <c r="F27" s="968"/>
      <c r="G27" s="663"/>
      <c r="H27" s="663"/>
      <c r="I27" s="663"/>
      <c r="J27" s="663"/>
      <c r="K27" s="663"/>
      <c r="L27" s="969"/>
      <c r="M27" s="70">
        <f t="shared" ref="M27:M30" si="2">SUM(E27:L27)</f>
        <v>0</v>
      </c>
      <c r="N27" s="627"/>
      <c r="O27" s="938"/>
      <c r="P27" s="38"/>
      <c r="R27" s="706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8"/>
    </row>
    <row r="28" spans="2:31" ht="22.95" customHeight="1">
      <c r="B28" s="46"/>
      <c r="C28" s="632" t="s">
        <v>515</v>
      </c>
      <c r="D28" s="953"/>
      <c r="E28" s="70">
        <f>+M17</f>
        <v>69102.48</v>
      </c>
      <c r="F28" s="968">
        <v>10000</v>
      </c>
      <c r="G28" s="663"/>
      <c r="H28" s="663"/>
      <c r="I28" s="663">
        <v>-15920.99</v>
      </c>
      <c r="J28" s="663"/>
      <c r="K28" s="663"/>
      <c r="L28" s="969"/>
      <c r="M28" s="70">
        <f t="shared" si="2"/>
        <v>63181.49</v>
      </c>
      <c r="N28" s="627"/>
      <c r="O28" s="938"/>
      <c r="P28" s="38"/>
      <c r="R28" s="706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8"/>
    </row>
    <row r="29" spans="2:31" ht="22.95" customHeight="1">
      <c r="B29" s="46"/>
      <c r="C29" s="632" t="s">
        <v>516</v>
      </c>
      <c r="D29" s="953"/>
      <c r="E29" s="70">
        <f>+M18</f>
        <v>0</v>
      </c>
      <c r="F29" s="968"/>
      <c r="G29" s="663"/>
      <c r="H29" s="663"/>
      <c r="I29" s="663"/>
      <c r="J29" s="663"/>
      <c r="K29" s="663"/>
      <c r="L29" s="969"/>
      <c r="M29" s="70">
        <f t="shared" si="2"/>
        <v>0</v>
      </c>
      <c r="N29" s="627"/>
      <c r="O29" s="938"/>
      <c r="P29" s="38"/>
      <c r="R29" s="706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08"/>
    </row>
    <row r="30" spans="2:31" ht="22.95" customHeight="1">
      <c r="B30" s="46"/>
      <c r="C30" s="608" t="s">
        <v>517</v>
      </c>
      <c r="D30" s="670"/>
      <c r="E30" s="71">
        <f>+M19</f>
        <v>0</v>
      </c>
      <c r="F30" s="970"/>
      <c r="G30" s="971"/>
      <c r="H30" s="971"/>
      <c r="I30" s="971"/>
      <c r="J30" s="971"/>
      <c r="K30" s="971"/>
      <c r="L30" s="972"/>
      <c r="M30" s="71">
        <f t="shared" si="2"/>
        <v>0</v>
      </c>
      <c r="N30" s="628"/>
      <c r="O30" s="940"/>
      <c r="P30" s="38"/>
      <c r="R30" s="709"/>
      <c r="S30" s="710"/>
      <c r="T30" s="710"/>
      <c r="U30" s="710"/>
      <c r="V30" s="710"/>
      <c r="W30" s="710"/>
      <c r="X30" s="710"/>
      <c r="Y30" s="710"/>
      <c r="Z30" s="710"/>
      <c r="AA30" s="710"/>
      <c r="AB30" s="710"/>
      <c r="AC30" s="710"/>
      <c r="AD30" s="710"/>
      <c r="AE30" s="711"/>
    </row>
    <row r="31" spans="2:31" ht="22.95" customHeight="1" thickBot="1">
      <c r="B31" s="46"/>
      <c r="C31" s="61" t="s">
        <v>518</v>
      </c>
      <c r="D31" s="62"/>
      <c r="E31" s="69">
        <f>SUM(E26:E30)</f>
        <v>73355.92</v>
      </c>
      <c r="F31" s="69">
        <f t="shared" ref="F31" si="3">SUM(F26:F30)</f>
        <v>10000</v>
      </c>
      <c r="G31" s="69">
        <f t="shared" ref="G31" si="4">SUM(G26:G30)</f>
        <v>0</v>
      </c>
      <c r="H31" s="69">
        <f t="shared" ref="H31" si="5">SUM(H26:H30)</f>
        <v>0</v>
      </c>
      <c r="I31" s="69">
        <f t="shared" ref="I31" si="6">SUM(I26:I30)</f>
        <v>-17420.98</v>
      </c>
      <c r="J31" s="69">
        <f t="shared" ref="J31" si="7">SUM(J26:J30)</f>
        <v>0</v>
      </c>
      <c r="K31" s="69">
        <f t="shared" ref="K31" si="8">SUM(K26:K30)</f>
        <v>0</v>
      </c>
      <c r="L31" s="69">
        <f t="shared" ref="L31" si="9">SUM(L26:L30)</f>
        <v>0</v>
      </c>
      <c r="M31" s="69">
        <f>SUM(M26:M30)</f>
        <v>65934.94</v>
      </c>
      <c r="N31" s="69">
        <f>SUM(N26:N30)</f>
        <v>0</v>
      </c>
      <c r="O31" s="63"/>
      <c r="P31" s="38"/>
      <c r="R31" s="709"/>
      <c r="S31" s="710"/>
      <c r="T31" s="710"/>
      <c r="U31" s="710"/>
      <c r="V31" s="710"/>
      <c r="W31" s="710"/>
      <c r="X31" s="710"/>
      <c r="Y31" s="710"/>
      <c r="Z31" s="710"/>
      <c r="AA31" s="710"/>
      <c r="AB31" s="710"/>
      <c r="AC31" s="710"/>
      <c r="AD31" s="710"/>
      <c r="AE31" s="711"/>
    </row>
    <row r="32" spans="2:31" ht="9" customHeight="1">
      <c r="B32" s="46"/>
      <c r="C32" s="57"/>
      <c r="D32" s="57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38"/>
      <c r="R32" s="706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8"/>
    </row>
    <row r="33" spans="2:31" ht="22.95" customHeight="1" thickBot="1">
      <c r="B33" s="46"/>
      <c r="C33" s="903" t="s">
        <v>519</v>
      </c>
      <c r="D33" s="904"/>
      <c r="E33" s="69">
        <f>+M22</f>
        <v>50000</v>
      </c>
      <c r="F33" s="974">
        <v>320896.55</v>
      </c>
      <c r="G33" s="975"/>
      <c r="H33" s="975"/>
      <c r="I33" s="975"/>
      <c r="J33" s="975"/>
      <c r="K33" s="975">
        <v>-318896.55</v>
      </c>
      <c r="L33" s="976"/>
      <c r="M33" s="69">
        <f>SUM(E33:L33)</f>
        <v>52000</v>
      </c>
      <c r="N33" s="630"/>
      <c r="O33" s="977"/>
      <c r="P33" s="38"/>
      <c r="R33" s="706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8"/>
    </row>
    <row r="34" spans="2:31" ht="22.95" customHeight="1">
      <c r="B34" s="46"/>
      <c r="C34" s="45"/>
      <c r="D34" s="45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8"/>
      <c r="R34" s="706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8"/>
    </row>
    <row r="35" spans="2:31" ht="22.95" customHeight="1">
      <c r="B35" s="46"/>
      <c r="C35" s="67" t="s">
        <v>224</v>
      </c>
      <c r="D35" s="65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30"/>
      <c r="P35" s="38"/>
      <c r="R35" s="706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8"/>
    </row>
    <row r="36" spans="2:31" ht="17.399999999999999">
      <c r="B36" s="46"/>
      <c r="C36" s="65" t="s">
        <v>521</v>
      </c>
      <c r="D36" s="65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30"/>
      <c r="P36" s="38"/>
      <c r="R36" s="712"/>
      <c r="S36" s="713"/>
      <c r="T36" s="713"/>
      <c r="U36" s="713"/>
      <c r="V36" s="713"/>
      <c r="W36" s="713"/>
      <c r="X36" s="713"/>
      <c r="Y36" s="713"/>
      <c r="Z36" s="713"/>
      <c r="AA36" s="713"/>
      <c r="AB36" s="713"/>
      <c r="AC36" s="713"/>
      <c r="AD36" s="713"/>
      <c r="AE36" s="714"/>
    </row>
    <row r="37" spans="2:31" ht="17.399999999999999">
      <c r="B37" s="46"/>
      <c r="C37" s="65" t="s">
        <v>522</v>
      </c>
      <c r="D37" s="65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30"/>
      <c r="P37" s="38"/>
      <c r="R37" s="712"/>
      <c r="S37" s="713"/>
      <c r="T37" s="713"/>
      <c r="U37" s="713"/>
      <c r="V37" s="713"/>
      <c r="W37" s="713"/>
      <c r="X37" s="713"/>
      <c r="Y37" s="713"/>
      <c r="Z37" s="713"/>
      <c r="AA37" s="713"/>
      <c r="AB37" s="713"/>
      <c r="AC37" s="713"/>
      <c r="AD37" s="713"/>
      <c r="AE37" s="714"/>
    </row>
    <row r="38" spans="2:31" ht="17.399999999999999">
      <c r="B38" s="46"/>
      <c r="C38" s="65" t="s">
        <v>523</v>
      </c>
      <c r="D38" s="65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30"/>
      <c r="P38" s="38"/>
      <c r="R38" s="712"/>
      <c r="S38" s="713"/>
      <c r="T38" s="713"/>
      <c r="U38" s="713"/>
      <c r="V38" s="713"/>
      <c r="W38" s="713"/>
      <c r="X38" s="713"/>
      <c r="Y38" s="713"/>
      <c r="Z38" s="713"/>
      <c r="AA38" s="713"/>
      <c r="AB38" s="713"/>
      <c r="AC38" s="713"/>
      <c r="AD38" s="713"/>
      <c r="AE38" s="714"/>
    </row>
    <row r="39" spans="2:31" ht="17.399999999999999">
      <c r="B39" s="46"/>
      <c r="C39" s="65" t="s">
        <v>524</v>
      </c>
      <c r="D39" s="65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30"/>
      <c r="P39" s="38"/>
      <c r="R39" s="712"/>
      <c r="S39" s="713"/>
      <c r="T39" s="713"/>
      <c r="U39" s="713"/>
      <c r="V39" s="713"/>
      <c r="W39" s="713"/>
      <c r="X39" s="713"/>
      <c r="Y39" s="713"/>
      <c r="Z39" s="713"/>
      <c r="AA39" s="713"/>
      <c r="AB39" s="713"/>
      <c r="AC39" s="713"/>
      <c r="AD39" s="713"/>
      <c r="AE39" s="714"/>
    </row>
    <row r="40" spans="2:31" ht="17.399999999999999">
      <c r="B40" s="46"/>
      <c r="C40" s="65" t="s">
        <v>525</v>
      </c>
      <c r="D40" s="65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30"/>
      <c r="P40" s="38"/>
      <c r="R40" s="712"/>
      <c r="S40" s="713"/>
      <c r="T40" s="713"/>
      <c r="U40" s="713"/>
      <c r="V40" s="713"/>
      <c r="W40" s="713"/>
      <c r="X40" s="713"/>
      <c r="Y40" s="713"/>
      <c r="Z40" s="713"/>
      <c r="AA40" s="713"/>
      <c r="AB40" s="713"/>
      <c r="AC40" s="713"/>
      <c r="AD40" s="713"/>
      <c r="AE40" s="714"/>
    </row>
    <row r="41" spans="2:31" ht="17.399999999999999">
      <c r="B41" s="46"/>
      <c r="C41" s="65" t="s">
        <v>526</v>
      </c>
      <c r="D41" s="65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30"/>
      <c r="P41" s="38"/>
      <c r="R41" s="712"/>
      <c r="S41" s="713"/>
      <c r="T41" s="713"/>
      <c r="U41" s="713"/>
      <c r="V41" s="713"/>
      <c r="W41" s="713"/>
      <c r="X41" s="713"/>
      <c r="Y41" s="713"/>
      <c r="Z41" s="713"/>
      <c r="AA41" s="713"/>
      <c r="AB41" s="713"/>
      <c r="AC41" s="713"/>
      <c r="AD41" s="713"/>
      <c r="AE41" s="714"/>
    </row>
    <row r="42" spans="2:31" ht="17.399999999999999">
      <c r="B42" s="46"/>
      <c r="C42" s="65" t="s">
        <v>527</v>
      </c>
      <c r="D42" s="65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30"/>
      <c r="P42" s="38"/>
      <c r="R42" s="712"/>
      <c r="S42" s="713"/>
      <c r="T42" s="713"/>
      <c r="U42" s="713"/>
      <c r="V42" s="713"/>
      <c r="W42" s="713"/>
      <c r="X42" s="713"/>
      <c r="Y42" s="713"/>
      <c r="Z42" s="713"/>
      <c r="AA42" s="713"/>
      <c r="AB42" s="713"/>
      <c r="AC42" s="713"/>
      <c r="AD42" s="713"/>
      <c r="AE42" s="714"/>
    </row>
    <row r="43" spans="2:31" ht="17.399999999999999">
      <c r="B43" s="46"/>
      <c r="C43" s="65" t="s">
        <v>528</v>
      </c>
      <c r="D43" s="65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30"/>
      <c r="P43" s="38"/>
      <c r="R43" s="712"/>
      <c r="S43" s="713"/>
      <c r="T43" s="713"/>
      <c r="U43" s="713"/>
      <c r="V43" s="713"/>
      <c r="W43" s="713"/>
      <c r="X43" s="713"/>
      <c r="Y43" s="713"/>
      <c r="Z43" s="713"/>
      <c r="AA43" s="713"/>
      <c r="AB43" s="713"/>
      <c r="AC43" s="713"/>
      <c r="AD43" s="713"/>
      <c r="AE43" s="714"/>
    </row>
    <row r="44" spans="2:31" ht="17.399999999999999">
      <c r="B44" s="46"/>
      <c r="C44" s="65" t="s">
        <v>529</v>
      </c>
      <c r="D44" s="65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30"/>
      <c r="P44" s="38"/>
      <c r="R44" s="712"/>
      <c r="S44" s="713"/>
      <c r="T44" s="713"/>
      <c r="U44" s="713"/>
      <c r="V44" s="713"/>
      <c r="W44" s="713"/>
      <c r="X44" s="713"/>
      <c r="Y44" s="713"/>
      <c r="Z44" s="713"/>
      <c r="AA44" s="713"/>
      <c r="AB44" s="713"/>
      <c r="AC44" s="713"/>
      <c r="AD44" s="713"/>
      <c r="AE44" s="714"/>
    </row>
    <row r="45" spans="2:31" ht="17.399999999999999">
      <c r="B45" s="46"/>
      <c r="C45" s="65" t="s">
        <v>530</v>
      </c>
      <c r="D45" s="65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30"/>
      <c r="P45" s="38"/>
      <c r="R45" s="712"/>
      <c r="S45" s="713"/>
      <c r="T45" s="713"/>
      <c r="U45" s="713"/>
      <c r="V45" s="713"/>
      <c r="W45" s="713"/>
      <c r="X45" s="713"/>
      <c r="Y45" s="713"/>
      <c r="Z45" s="713"/>
      <c r="AA45" s="713"/>
      <c r="AB45" s="713"/>
      <c r="AC45" s="713"/>
      <c r="AD45" s="713"/>
      <c r="AE45" s="714"/>
    </row>
    <row r="46" spans="2:31" ht="17.399999999999999">
      <c r="B46" s="46"/>
      <c r="C46" s="65" t="s">
        <v>531</v>
      </c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30"/>
      <c r="P46" s="38"/>
      <c r="R46" s="712"/>
      <c r="S46" s="713"/>
      <c r="T46" s="713"/>
      <c r="U46" s="713"/>
      <c r="V46" s="713"/>
      <c r="W46" s="713"/>
      <c r="X46" s="713"/>
      <c r="Y46" s="713"/>
      <c r="Z46" s="713"/>
      <c r="AA46" s="713"/>
      <c r="AB46" s="713"/>
      <c r="AC46" s="713"/>
      <c r="AD46" s="713"/>
      <c r="AE46" s="714"/>
    </row>
    <row r="47" spans="2:31" ht="22.95" customHeight="1" thickBot="1">
      <c r="B47" s="49"/>
      <c r="C47" s="1154"/>
      <c r="D47" s="1154"/>
      <c r="E47" s="1154"/>
      <c r="F47" s="1154"/>
      <c r="G47" s="25"/>
      <c r="H47" s="25"/>
      <c r="I47" s="25"/>
      <c r="J47" s="25"/>
      <c r="K47" s="25"/>
      <c r="L47" s="25"/>
      <c r="M47" s="25"/>
      <c r="N47" s="25"/>
      <c r="O47" s="50"/>
      <c r="P47" s="51"/>
      <c r="R47" s="715"/>
      <c r="S47" s="716"/>
      <c r="T47" s="716"/>
      <c r="U47" s="716"/>
      <c r="V47" s="716"/>
      <c r="W47" s="716"/>
      <c r="X47" s="716"/>
      <c r="Y47" s="716"/>
      <c r="Z47" s="716"/>
      <c r="AA47" s="716"/>
      <c r="AB47" s="716"/>
      <c r="AC47" s="716"/>
      <c r="AD47" s="716"/>
      <c r="AE47" s="717"/>
    </row>
    <row r="48" spans="2:31" ht="22.95" customHeight="1">
      <c r="Q48" s="31" t="s">
        <v>179</v>
      </c>
    </row>
    <row r="49" spans="3:15" ht="13.2">
      <c r="C49" s="52" t="s">
        <v>52</v>
      </c>
      <c r="O49" s="29" t="s">
        <v>532</v>
      </c>
    </row>
    <row r="50" spans="3:15" ht="13.2">
      <c r="C50" s="52" t="s">
        <v>54</v>
      </c>
    </row>
    <row r="51" spans="3:15" ht="13.2">
      <c r="C51" s="52" t="s">
        <v>55</v>
      </c>
    </row>
    <row r="52" spans="3:15" ht="13.2">
      <c r="C52" s="52" t="s">
        <v>56</v>
      </c>
    </row>
    <row r="53" spans="3:15" ht="13.2">
      <c r="C53" s="52" t="s">
        <v>57</v>
      </c>
    </row>
  </sheetData>
  <sheetProtection algorithmName="SHA-512" hashValue="rRX4zLz3E485rMzmeFE+mdNVwDYOlrGBvlrljKBFvjBlI/gZWIwoSb0sEvDXR7vcptlwYQIgvGsAcxy46oOCrw==" saltValue="EHR+GVjHfrONGi4/FQZVsQ==" spinCount="100000" sheet="1" objects="1" scenarios="1"/>
  <mergeCells count="9">
    <mergeCell ref="O6:O7"/>
    <mergeCell ref="D9:O9"/>
    <mergeCell ref="C47:F47"/>
    <mergeCell ref="C13:D13"/>
    <mergeCell ref="O13:O14"/>
    <mergeCell ref="F13:L13"/>
    <mergeCell ref="C24:D24"/>
    <mergeCell ref="F24:L24"/>
    <mergeCell ref="O24:O25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6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2:AC77"/>
  <sheetViews>
    <sheetView topLeftCell="C18" zoomScaleNormal="100" zoomScalePageLayoutView="125" workbookViewId="0">
      <selection activeCell="C18" sqref="C18:D18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23.1796875" style="31" customWidth="1"/>
    <col min="5" max="9" width="13.453125" style="32" customWidth="1"/>
    <col min="10" max="10" width="15.453125" style="32" customWidth="1"/>
    <col min="11" max="11" width="15.81640625" style="32" customWidth="1"/>
    <col min="12" max="12" width="13.453125" style="32" customWidth="1"/>
    <col min="13" max="13" width="25.81640625" style="32" customWidth="1"/>
    <col min="14" max="14" width="3.453125" style="31" customWidth="1"/>
    <col min="15" max="16384" width="10.54296875" style="31"/>
  </cols>
  <sheetData>
    <row r="2" spans="1:29" ht="22.95" customHeight="1">
      <c r="D2" s="318" t="str">
        <f>_GENERAL!D2</f>
        <v>Área de la Presidenta: Igualdad y Diversidad, Hacienda y Proyectos Estratégicos</v>
      </c>
    </row>
    <row r="3" spans="1:29" ht="22.95" customHeight="1">
      <c r="D3" s="318" t="str">
        <f>_GENERAL!D3</f>
        <v>Dirección Insular de Hacienda</v>
      </c>
    </row>
    <row r="4" spans="1:29" ht="22.95" customHeight="1" thickBot="1">
      <c r="A4" s="31" t="s">
        <v>129</v>
      </c>
    </row>
    <row r="5" spans="1:29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6"/>
      <c r="P5" s="700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2"/>
    </row>
    <row r="6" spans="1:29" ht="30" customHeight="1">
      <c r="B6" s="37"/>
      <c r="C6" s="28" t="s">
        <v>2</v>
      </c>
      <c r="M6" s="1138">
        <f>ejercicio</f>
        <v>2025</v>
      </c>
      <c r="N6" s="38"/>
      <c r="P6" s="163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6"/>
    </row>
    <row r="7" spans="1:29" ht="30" customHeight="1">
      <c r="B7" s="37"/>
      <c r="C7" s="28" t="s">
        <v>3</v>
      </c>
      <c r="M7" s="1138"/>
      <c r="N7" s="38"/>
      <c r="P7" s="167"/>
      <c r="Q7" s="164" t="s">
        <v>130</v>
      </c>
      <c r="R7" s="168"/>
      <c r="S7" s="168"/>
      <c r="T7" s="168"/>
      <c r="U7" s="168"/>
      <c r="V7" s="168"/>
      <c r="W7" s="168"/>
      <c r="X7" s="168"/>
      <c r="Y7" s="168"/>
      <c r="Z7" s="168"/>
      <c r="AA7" s="168"/>
      <c r="AB7" s="168"/>
      <c r="AC7" s="169"/>
    </row>
    <row r="8" spans="1:29" ht="30" customHeight="1">
      <c r="B8" s="37"/>
      <c r="C8" s="39"/>
      <c r="M8" s="40"/>
      <c r="N8" s="38"/>
      <c r="P8" s="703"/>
      <c r="Q8" s="704"/>
      <c r="R8" s="704"/>
      <c r="S8" s="704"/>
      <c r="T8" s="704"/>
      <c r="U8" s="704"/>
      <c r="V8" s="704"/>
      <c r="W8" s="704"/>
      <c r="X8" s="704"/>
      <c r="Y8" s="704"/>
      <c r="Z8" s="704"/>
      <c r="AA8" s="704"/>
      <c r="AB8" s="704"/>
      <c r="AC8" s="705"/>
    </row>
    <row r="9" spans="1:29" s="26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825"/>
      <c r="O9" s="892"/>
      <c r="P9" s="706"/>
      <c r="Q9" s="707"/>
      <c r="R9" s="707"/>
      <c r="S9" s="707"/>
      <c r="T9" s="707"/>
      <c r="U9" s="707"/>
      <c r="V9" s="707"/>
      <c r="W9" s="707"/>
      <c r="X9" s="707"/>
      <c r="Y9" s="707"/>
      <c r="Z9" s="707"/>
      <c r="AA9" s="707"/>
      <c r="AB9" s="707"/>
      <c r="AC9" s="708"/>
    </row>
    <row r="10" spans="1:29" ht="7.2" customHeight="1">
      <c r="B10" s="37"/>
      <c r="N10" s="38"/>
      <c r="P10" s="706"/>
      <c r="Q10" s="707"/>
      <c r="R10" s="707"/>
      <c r="S10" s="707"/>
      <c r="T10" s="707"/>
      <c r="U10" s="707"/>
      <c r="V10" s="707"/>
      <c r="W10" s="707"/>
      <c r="X10" s="707"/>
      <c r="Y10" s="707"/>
      <c r="Z10" s="707"/>
      <c r="AA10" s="707"/>
      <c r="AB10" s="707"/>
      <c r="AC10" s="708"/>
    </row>
    <row r="11" spans="1:29" s="45" customFormat="1" ht="30" customHeight="1">
      <c r="B11" s="41"/>
      <c r="C11" s="42" t="s">
        <v>533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4"/>
      <c r="P11" s="706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8"/>
    </row>
    <row r="12" spans="1:29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30"/>
      <c r="K12" s="30"/>
      <c r="L12" s="30"/>
      <c r="M12" s="30"/>
      <c r="N12" s="44"/>
      <c r="P12" s="706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8"/>
    </row>
    <row r="13" spans="1:29" s="45" customFormat="1" ht="30" customHeight="1">
      <c r="B13" s="41"/>
      <c r="C13" s="27" t="s">
        <v>534</v>
      </c>
      <c r="D13" s="8"/>
      <c r="E13" s="30"/>
      <c r="F13" s="30"/>
      <c r="G13" s="30"/>
      <c r="H13" s="30"/>
      <c r="I13" s="30"/>
      <c r="J13" s="30"/>
      <c r="K13" s="30"/>
      <c r="L13" s="30"/>
      <c r="M13" s="30"/>
      <c r="N13" s="44"/>
      <c r="P13" s="706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8"/>
    </row>
    <row r="14" spans="1:29" s="45" customFormat="1" ht="30" customHeight="1">
      <c r="B14" s="41"/>
      <c r="C14" s="8"/>
      <c r="D14" s="8"/>
      <c r="E14" s="30"/>
      <c r="F14" s="30"/>
      <c r="G14" s="30"/>
      <c r="H14" s="30"/>
      <c r="I14" s="30"/>
      <c r="J14" s="30"/>
      <c r="K14" s="30"/>
      <c r="L14" s="30"/>
      <c r="M14" s="30"/>
      <c r="N14" s="44"/>
      <c r="P14" s="706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8"/>
    </row>
    <row r="15" spans="1:29" s="48" customFormat="1" ht="22.95" customHeight="1">
      <c r="B15" s="46"/>
      <c r="C15" s="81"/>
      <c r="D15" s="82"/>
      <c r="E15" s="83" t="s">
        <v>387</v>
      </c>
      <c r="F15" s="83" t="s">
        <v>535</v>
      </c>
      <c r="G15" s="1207" t="s">
        <v>501</v>
      </c>
      <c r="H15" s="1208"/>
      <c r="I15" s="1208"/>
      <c r="J15" s="83" t="s">
        <v>502</v>
      </c>
      <c r="K15" s="83" t="s">
        <v>536</v>
      </c>
      <c r="L15" s="83" t="s">
        <v>537</v>
      </c>
      <c r="M15" s="1205" t="s">
        <v>538</v>
      </c>
      <c r="N15" s="47"/>
      <c r="P15" s="706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8"/>
    </row>
    <row r="16" spans="1:29" ht="56.25" customHeight="1">
      <c r="B16" s="37"/>
      <c r="C16" s="84" t="s">
        <v>539</v>
      </c>
      <c r="D16" s="85"/>
      <c r="E16" s="86" t="s">
        <v>540</v>
      </c>
      <c r="F16" s="86">
        <f>ejercicio</f>
        <v>2025</v>
      </c>
      <c r="G16" s="905" t="s">
        <v>541</v>
      </c>
      <c r="H16" s="906" t="s">
        <v>542</v>
      </c>
      <c r="I16" s="907" t="s">
        <v>543</v>
      </c>
      <c r="J16" s="86">
        <f>ejercicio</f>
        <v>2025</v>
      </c>
      <c r="K16" s="86" t="s">
        <v>544</v>
      </c>
      <c r="L16" s="86">
        <f>ejercicio</f>
        <v>2025</v>
      </c>
      <c r="M16" s="1206"/>
      <c r="N16" s="38"/>
      <c r="P16" s="706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8"/>
    </row>
    <row r="17" spans="2:29" ht="30" customHeight="1" thickBot="1">
      <c r="B17" s="37"/>
      <c r="C17" s="1216" t="s">
        <v>545</v>
      </c>
      <c r="D17" s="1216"/>
      <c r="E17" s="1216"/>
      <c r="F17" s="1216"/>
      <c r="G17" s="1216"/>
      <c r="H17" s="1216"/>
      <c r="I17" s="1216"/>
      <c r="J17" s="1216"/>
      <c r="K17" s="1216"/>
      <c r="L17" s="1216"/>
      <c r="M17" s="1216"/>
      <c r="N17" s="38"/>
      <c r="P17" s="706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8"/>
    </row>
    <row r="18" spans="2:29" s="17" customFormat="1" ht="22.95" customHeight="1">
      <c r="B18" s="46"/>
      <c r="C18" s="1214"/>
      <c r="D18" s="1215"/>
      <c r="E18" s="978"/>
      <c r="F18" s="979"/>
      <c r="G18" s="980"/>
      <c r="H18" s="980"/>
      <c r="I18" s="980"/>
      <c r="J18" s="75">
        <f t="shared" ref="J18:J24" si="0">SUM(F18:I18)</f>
        <v>0</v>
      </c>
      <c r="K18" s="981"/>
      <c r="L18" s="982"/>
      <c r="M18" s="983"/>
      <c r="N18" s="47"/>
      <c r="P18" s="706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8"/>
    </row>
    <row r="19" spans="2:29" ht="22.95" customHeight="1">
      <c r="B19" s="46"/>
      <c r="C19" s="1210"/>
      <c r="D19" s="1211"/>
      <c r="E19" s="984"/>
      <c r="F19" s="968"/>
      <c r="G19" s="663"/>
      <c r="H19" s="663"/>
      <c r="I19" s="663"/>
      <c r="J19" s="70">
        <f t="shared" si="0"/>
        <v>0</v>
      </c>
      <c r="K19" s="985"/>
      <c r="L19" s="986"/>
      <c r="M19" s="902"/>
      <c r="N19" s="38"/>
      <c r="P19" s="706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8"/>
    </row>
    <row r="20" spans="2:29" ht="22.95" customHeight="1">
      <c r="B20" s="46"/>
      <c r="C20" s="1210"/>
      <c r="D20" s="1211"/>
      <c r="E20" s="984"/>
      <c r="F20" s="968"/>
      <c r="G20" s="663"/>
      <c r="H20" s="663"/>
      <c r="I20" s="663"/>
      <c r="J20" s="70">
        <f t="shared" si="0"/>
        <v>0</v>
      </c>
      <c r="K20" s="985"/>
      <c r="L20" s="986"/>
      <c r="M20" s="902"/>
      <c r="N20" s="38"/>
      <c r="P20" s="706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8"/>
    </row>
    <row r="21" spans="2:29" ht="22.95" customHeight="1">
      <c r="B21" s="46"/>
      <c r="C21" s="1210"/>
      <c r="D21" s="1211"/>
      <c r="E21" s="984"/>
      <c r="F21" s="968"/>
      <c r="G21" s="663"/>
      <c r="H21" s="663"/>
      <c r="I21" s="663"/>
      <c r="J21" s="70">
        <f t="shared" si="0"/>
        <v>0</v>
      </c>
      <c r="K21" s="985"/>
      <c r="L21" s="986"/>
      <c r="M21" s="902"/>
      <c r="N21" s="38"/>
      <c r="P21" s="706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8"/>
    </row>
    <row r="22" spans="2:29" ht="22.95" customHeight="1">
      <c r="B22" s="46"/>
      <c r="C22" s="1210"/>
      <c r="D22" s="1211"/>
      <c r="E22" s="987"/>
      <c r="F22" s="988"/>
      <c r="G22" s="668"/>
      <c r="H22" s="668"/>
      <c r="I22" s="668"/>
      <c r="J22" s="70">
        <f t="shared" si="0"/>
        <v>0</v>
      </c>
      <c r="K22" s="989"/>
      <c r="L22" s="990"/>
      <c r="M22" s="991"/>
      <c r="N22" s="38"/>
      <c r="P22" s="706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  <c r="AC22" s="708"/>
    </row>
    <row r="23" spans="2:29" ht="22.95" customHeight="1">
      <c r="B23" s="46"/>
      <c r="C23" s="1210"/>
      <c r="D23" s="1211"/>
      <c r="E23" s="987"/>
      <c r="F23" s="988"/>
      <c r="G23" s="668"/>
      <c r="H23" s="668"/>
      <c r="I23" s="668"/>
      <c r="J23" s="70">
        <f t="shared" si="0"/>
        <v>0</v>
      </c>
      <c r="K23" s="989"/>
      <c r="L23" s="990"/>
      <c r="M23" s="991"/>
      <c r="N23" s="38"/>
      <c r="P23" s="706"/>
      <c r="Q23" s="707"/>
      <c r="R23" s="707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  <c r="AC23" s="708"/>
    </row>
    <row r="24" spans="2:29" ht="22.95" customHeight="1">
      <c r="B24" s="46"/>
      <c r="C24" s="992"/>
      <c r="D24" s="993"/>
      <c r="E24" s="994"/>
      <c r="F24" s="970"/>
      <c r="G24" s="971"/>
      <c r="H24" s="971"/>
      <c r="I24" s="971"/>
      <c r="J24" s="71">
        <f t="shared" si="0"/>
        <v>0</v>
      </c>
      <c r="K24" s="995"/>
      <c r="L24" s="996"/>
      <c r="M24" s="993"/>
      <c r="N24" s="38"/>
      <c r="P24" s="706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8"/>
    </row>
    <row r="25" spans="2:29" ht="22.95" customHeight="1" thickBot="1">
      <c r="B25" s="46"/>
      <c r="C25" s="61" t="s">
        <v>518</v>
      </c>
      <c r="D25" s="62"/>
      <c r="E25" s="69"/>
      <c r="F25" s="69">
        <f>SUM(F18:F24)</f>
        <v>0</v>
      </c>
      <c r="G25" s="69">
        <f>SUM(G18:G24)</f>
        <v>0</v>
      </c>
      <c r="H25" s="69">
        <f>SUM(H18:H24)</f>
        <v>0</v>
      </c>
      <c r="I25" s="69">
        <f>SUM(I18:I24)</f>
        <v>0</v>
      </c>
      <c r="J25" s="69">
        <f>SUM(J18:J24)</f>
        <v>0</v>
      </c>
      <c r="K25" s="73"/>
      <c r="L25" s="69">
        <f>SUM(L18:L24)</f>
        <v>0</v>
      </c>
      <c r="M25" s="63"/>
      <c r="N25" s="38"/>
      <c r="P25" s="706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8"/>
    </row>
    <row r="26" spans="2:29" ht="30" customHeight="1" thickBot="1">
      <c r="B26" s="37"/>
      <c r="C26" s="1217" t="s">
        <v>546</v>
      </c>
      <c r="D26" s="1217"/>
      <c r="E26" s="1217"/>
      <c r="F26" s="1217"/>
      <c r="G26" s="1217"/>
      <c r="H26" s="1217"/>
      <c r="I26" s="1217"/>
      <c r="J26" s="1217"/>
      <c r="K26" s="1217"/>
      <c r="L26" s="1217"/>
      <c r="M26" s="1217"/>
      <c r="N26" s="38"/>
      <c r="P26" s="706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8"/>
    </row>
    <row r="27" spans="2:29" ht="22.95" customHeight="1">
      <c r="B27" s="46"/>
      <c r="C27" s="1214"/>
      <c r="D27" s="1215"/>
      <c r="E27" s="978"/>
      <c r="F27" s="979"/>
      <c r="G27" s="980"/>
      <c r="H27" s="980"/>
      <c r="I27" s="980"/>
      <c r="J27" s="75">
        <f t="shared" ref="J27:J33" si="1">SUM(F27:I27)</f>
        <v>0</v>
      </c>
      <c r="K27" s="981"/>
      <c r="L27" s="982"/>
      <c r="M27" s="983"/>
      <c r="N27" s="47"/>
      <c r="P27" s="706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8"/>
    </row>
    <row r="28" spans="2:29" ht="22.95" customHeight="1">
      <c r="B28" s="46"/>
      <c r="C28" s="1210"/>
      <c r="D28" s="1211"/>
      <c r="E28" s="984"/>
      <c r="F28" s="968"/>
      <c r="G28" s="663"/>
      <c r="H28" s="663"/>
      <c r="I28" s="663"/>
      <c r="J28" s="70">
        <f t="shared" si="1"/>
        <v>0</v>
      </c>
      <c r="K28" s="985"/>
      <c r="L28" s="986"/>
      <c r="M28" s="902"/>
      <c r="N28" s="38"/>
      <c r="P28" s="706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8"/>
    </row>
    <row r="29" spans="2:29" ht="22.95" customHeight="1">
      <c r="B29" s="46"/>
      <c r="C29" s="1210"/>
      <c r="D29" s="1211"/>
      <c r="E29" s="984"/>
      <c r="F29" s="968"/>
      <c r="G29" s="663"/>
      <c r="H29" s="663"/>
      <c r="I29" s="663"/>
      <c r="J29" s="70">
        <f t="shared" si="1"/>
        <v>0</v>
      </c>
      <c r="K29" s="985"/>
      <c r="L29" s="986"/>
      <c r="M29" s="902"/>
      <c r="N29" s="38"/>
      <c r="P29" s="706"/>
      <c r="Q29" s="707"/>
      <c r="R29" s="707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8"/>
    </row>
    <row r="30" spans="2:29" ht="22.95" customHeight="1">
      <c r="B30" s="46"/>
      <c r="C30" s="1210"/>
      <c r="D30" s="1211"/>
      <c r="E30" s="984"/>
      <c r="F30" s="968"/>
      <c r="G30" s="663"/>
      <c r="H30" s="663"/>
      <c r="I30" s="663"/>
      <c r="J30" s="70">
        <f t="shared" si="1"/>
        <v>0</v>
      </c>
      <c r="K30" s="985"/>
      <c r="L30" s="986"/>
      <c r="M30" s="902"/>
      <c r="N30" s="38"/>
      <c r="P30" s="709"/>
      <c r="Q30" s="710"/>
      <c r="R30" s="710"/>
      <c r="S30" s="710"/>
      <c r="T30" s="710"/>
      <c r="U30" s="710"/>
      <c r="V30" s="710"/>
      <c r="W30" s="710"/>
      <c r="X30" s="710"/>
      <c r="Y30" s="710"/>
      <c r="Z30" s="710"/>
      <c r="AA30" s="710"/>
      <c r="AB30" s="710"/>
      <c r="AC30" s="711"/>
    </row>
    <row r="31" spans="2:29" ht="22.95" customHeight="1">
      <c r="B31" s="46"/>
      <c r="C31" s="1210"/>
      <c r="D31" s="1211"/>
      <c r="E31" s="987"/>
      <c r="F31" s="988"/>
      <c r="G31" s="668"/>
      <c r="H31" s="668"/>
      <c r="I31" s="668"/>
      <c r="J31" s="70">
        <f t="shared" si="1"/>
        <v>0</v>
      </c>
      <c r="K31" s="989"/>
      <c r="L31" s="990"/>
      <c r="M31" s="991"/>
      <c r="N31" s="38"/>
      <c r="P31" s="709"/>
      <c r="Q31" s="710"/>
      <c r="R31" s="710"/>
      <c r="S31" s="710"/>
      <c r="T31" s="710"/>
      <c r="U31" s="710"/>
      <c r="V31" s="710"/>
      <c r="W31" s="710"/>
      <c r="X31" s="710"/>
      <c r="Y31" s="710"/>
      <c r="Z31" s="710"/>
      <c r="AA31" s="710"/>
      <c r="AB31" s="710"/>
      <c r="AC31" s="711"/>
    </row>
    <row r="32" spans="2:29" ht="22.95" customHeight="1">
      <c r="B32" s="46"/>
      <c r="C32" s="1210"/>
      <c r="D32" s="1211"/>
      <c r="E32" s="987"/>
      <c r="F32" s="988"/>
      <c r="G32" s="668"/>
      <c r="H32" s="668"/>
      <c r="I32" s="668"/>
      <c r="J32" s="70">
        <f t="shared" si="1"/>
        <v>0</v>
      </c>
      <c r="K32" s="989"/>
      <c r="L32" s="990"/>
      <c r="M32" s="991"/>
      <c r="N32" s="38"/>
      <c r="P32" s="706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8"/>
    </row>
    <row r="33" spans="2:29" ht="22.95" customHeight="1">
      <c r="B33" s="46"/>
      <c r="C33" s="1212"/>
      <c r="D33" s="1213"/>
      <c r="E33" s="994"/>
      <c r="F33" s="970"/>
      <c r="G33" s="971"/>
      <c r="H33" s="971"/>
      <c r="I33" s="971"/>
      <c r="J33" s="71">
        <f t="shared" si="1"/>
        <v>0</v>
      </c>
      <c r="K33" s="995"/>
      <c r="L33" s="996"/>
      <c r="M33" s="993"/>
      <c r="N33" s="38"/>
      <c r="P33" s="706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8"/>
    </row>
    <row r="34" spans="2:29" ht="22.95" customHeight="1" thickBot="1">
      <c r="B34" s="46"/>
      <c r="C34" s="61" t="s">
        <v>518</v>
      </c>
      <c r="D34" s="62"/>
      <c r="E34" s="69"/>
      <c r="F34" s="69">
        <f>SUM(F27:F33)</f>
        <v>0</v>
      </c>
      <c r="G34" s="69">
        <f>SUM(G27:G33)</f>
        <v>0</v>
      </c>
      <c r="H34" s="69">
        <f>SUM(H27:H33)</f>
        <v>0</v>
      </c>
      <c r="I34" s="69">
        <f>SUM(I27:I33)</f>
        <v>0</v>
      </c>
      <c r="J34" s="69">
        <f>SUM(J27:J33)</f>
        <v>0</v>
      </c>
      <c r="K34" s="73"/>
      <c r="L34" s="69">
        <f>SUM(L27:L33)</f>
        <v>0</v>
      </c>
      <c r="M34" s="63"/>
      <c r="N34" s="38"/>
      <c r="P34" s="706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8"/>
    </row>
    <row r="35" spans="2:29" ht="22.95" customHeight="1">
      <c r="B35" s="46"/>
      <c r="C35" s="57"/>
      <c r="D35" s="57"/>
      <c r="E35" s="58"/>
      <c r="F35" s="58"/>
      <c r="G35" s="58"/>
      <c r="H35" s="58"/>
      <c r="I35" s="58"/>
      <c r="J35" s="58"/>
      <c r="K35" s="58"/>
      <c r="L35" s="58"/>
      <c r="M35" s="58"/>
      <c r="N35" s="38"/>
      <c r="P35" s="706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8"/>
    </row>
    <row r="36" spans="2:29" ht="22.95" customHeight="1">
      <c r="B36" s="46"/>
      <c r="C36" s="57"/>
      <c r="D36" s="57"/>
      <c r="E36" s="58"/>
      <c r="F36" s="58"/>
      <c r="G36" s="58"/>
      <c r="H36" s="58"/>
      <c r="I36" s="58"/>
      <c r="J36" s="58"/>
      <c r="K36" s="58"/>
      <c r="L36" s="58"/>
      <c r="M36" s="58"/>
      <c r="N36" s="38"/>
      <c r="P36" s="712"/>
      <c r="Q36" s="713"/>
      <c r="R36" s="713"/>
      <c r="S36" s="713"/>
      <c r="T36" s="713"/>
      <c r="U36" s="713"/>
      <c r="V36" s="713"/>
      <c r="W36" s="713"/>
      <c r="X36" s="713"/>
      <c r="Y36" s="713"/>
      <c r="Z36" s="713"/>
      <c r="AA36" s="713"/>
      <c r="AB36" s="713"/>
      <c r="AC36" s="714"/>
    </row>
    <row r="37" spans="2:29" ht="22.95" customHeight="1">
      <c r="B37" s="46"/>
      <c r="C37" s="27" t="s">
        <v>547</v>
      </c>
      <c r="D37" s="8"/>
      <c r="E37" s="30"/>
      <c r="F37" s="30"/>
      <c r="G37" s="30"/>
      <c r="H37" s="30"/>
      <c r="I37" s="30"/>
      <c r="J37" s="30"/>
      <c r="K37" s="30"/>
      <c r="L37" s="30"/>
      <c r="M37" s="30"/>
      <c r="N37" s="38"/>
      <c r="P37" s="712"/>
      <c r="Q37" s="713"/>
      <c r="R37" s="713"/>
      <c r="S37" s="713"/>
      <c r="T37" s="713"/>
      <c r="U37" s="713"/>
      <c r="V37" s="713"/>
      <c r="W37" s="713"/>
      <c r="X37" s="713"/>
      <c r="Y37" s="713"/>
      <c r="Z37" s="713"/>
      <c r="AA37" s="713"/>
      <c r="AB37" s="713"/>
      <c r="AC37" s="714"/>
    </row>
    <row r="38" spans="2:29" ht="22.95" customHeight="1">
      <c r="B38" s="46"/>
      <c r="C38" s="8"/>
      <c r="D38" s="8"/>
      <c r="E38" s="30"/>
      <c r="F38" s="30"/>
      <c r="G38" s="30"/>
      <c r="H38" s="30"/>
      <c r="I38" s="30"/>
      <c r="J38" s="30"/>
      <c r="K38" s="30"/>
      <c r="L38" s="30"/>
      <c r="M38" s="30"/>
      <c r="N38" s="38"/>
      <c r="P38" s="712"/>
      <c r="Q38" s="713"/>
      <c r="R38" s="713"/>
      <c r="S38" s="713"/>
      <c r="T38" s="713"/>
      <c r="U38" s="713"/>
      <c r="V38" s="713"/>
      <c r="W38" s="713"/>
      <c r="X38" s="713"/>
      <c r="Y38" s="713"/>
      <c r="Z38" s="713"/>
      <c r="AA38" s="713"/>
      <c r="AB38" s="713"/>
      <c r="AC38" s="714"/>
    </row>
    <row r="39" spans="2:29" ht="22.95" customHeight="1">
      <c r="B39" s="46"/>
      <c r="C39" s="81"/>
      <c r="D39" s="82"/>
      <c r="E39" s="83" t="s">
        <v>387</v>
      </c>
      <c r="F39" s="83" t="s">
        <v>535</v>
      </c>
      <c r="G39" s="1207" t="s">
        <v>501</v>
      </c>
      <c r="H39" s="1208"/>
      <c r="I39" s="1208"/>
      <c r="J39" s="83" t="s">
        <v>502</v>
      </c>
      <c r="K39" s="83" t="s">
        <v>536</v>
      </c>
      <c r="L39" s="83" t="s">
        <v>537</v>
      </c>
      <c r="M39" s="1205" t="s">
        <v>548</v>
      </c>
      <c r="N39" s="38"/>
      <c r="P39" s="712"/>
      <c r="Q39" s="713"/>
      <c r="R39" s="713"/>
      <c r="S39" s="713"/>
      <c r="T39" s="713"/>
      <c r="U39" s="713"/>
      <c r="V39" s="713"/>
      <c r="W39" s="713"/>
      <c r="X39" s="713"/>
      <c r="Y39" s="713"/>
      <c r="Z39" s="713"/>
      <c r="AA39" s="713"/>
      <c r="AB39" s="713"/>
      <c r="AC39" s="714"/>
    </row>
    <row r="40" spans="2:29" ht="60" customHeight="1">
      <c r="B40" s="46"/>
      <c r="C40" s="84" t="s">
        <v>539</v>
      </c>
      <c r="D40" s="85"/>
      <c r="E40" s="86" t="s">
        <v>540</v>
      </c>
      <c r="F40" s="86">
        <f>ejercicio</f>
        <v>2025</v>
      </c>
      <c r="G40" s="905" t="s">
        <v>541</v>
      </c>
      <c r="H40" s="906" t="s">
        <v>542</v>
      </c>
      <c r="I40" s="907" t="s">
        <v>543</v>
      </c>
      <c r="J40" s="86">
        <f>ejercicio</f>
        <v>2025</v>
      </c>
      <c r="K40" s="86" t="s">
        <v>549</v>
      </c>
      <c r="L40" s="86">
        <f>ejercicio</f>
        <v>2025</v>
      </c>
      <c r="M40" s="1206"/>
      <c r="N40" s="38"/>
      <c r="P40" s="712"/>
      <c r="Q40" s="713"/>
      <c r="R40" s="713"/>
      <c r="S40" s="713"/>
      <c r="T40" s="713"/>
      <c r="U40" s="713"/>
      <c r="V40" s="713"/>
      <c r="W40" s="713"/>
      <c r="X40" s="713"/>
      <c r="Y40" s="713"/>
      <c r="Z40" s="713"/>
      <c r="AA40" s="713"/>
      <c r="AB40" s="713"/>
      <c r="AC40" s="714"/>
    </row>
    <row r="41" spans="2:29" ht="30" customHeight="1" thickBot="1">
      <c r="B41" s="46"/>
      <c r="C41" s="1216" t="s">
        <v>550</v>
      </c>
      <c r="D41" s="1216"/>
      <c r="E41" s="1216"/>
      <c r="F41" s="1216"/>
      <c r="G41" s="1216"/>
      <c r="H41" s="1216"/>
      <c r="I41" s="1216"/>
      <c r="J41" s="1216"/>
      <c r="K41" s="1216"/>
      <c r="L41" s="1216"/>
      <c r="M41" s="1216"/>
      <c r="N41" s="38"/>
      <c r="P41" s="712"/>
      <c r="Q41" s="713"/>
      <c r="R41" s="713"/>
      <c r="S41" s="713"/>
      <c r="T41" s="713"/>
      <c r="U41" s="713"/>
      <c r="V41" s="713"/>
      <c r="W41" s="713"/>
      <c r="X41" s="713"/>
      <c r="Y41" s="713"/>
      <c r="Z41" s="713"/>
      <c r="AA41" s="713"/>
      <c r="AB41" s="713"/>
      <c r="AC41" s="714"/>
    </row>
    <row r="42" spans="2:29" ht="22.95" customHeight="1">
      <c r="B42" s="46"/>
      <c r="C42" s="1214"/>
      <c r="D42" s="1215"/>
      <c r="E42" s="978"/>
      <c r="F42" s="979"/>
      <c r="G42" s="980"/>
      <c r="H42" s="980"/>
      <c r="I42" s="980"/>
      <c r="J42" s="75">
        <f t="shared" ref="J42:J48" si="2">SUM(F42:I42)</f>
        <v>0</v>
      </c>
      <c r="K42" s="981"/>
      <c r="L42" s="997"/>
      <c r="M42" s="983"/>
      <c r="N42" s="38"/>
      <c r="P42" s="712"/>
      <c r="Q42" s="713"/>
      <c r="R42" s="713"/>
      <c r="S42" s="713"/>
      <c r="T42" s="713"/>
      <c r="U42" s="713"/>
      <c r="V42" s="713"/>
      <c r="W42" s="713"/>
      <c r="X42" s="713"/>
      <c r="Y42" s="713"/>
      <c r="Z42" s="713"/>
      <c r="AA42" s="713"/>
      <c r="AB42" s="713"/>
      <c r="AC42" s="714"/>
    </row>
    <row r="43" spans="2:29" ht="22.95" customHeight="1">
      <c r="B43" s="46"/>
      <c r="C43" s="1210"/>
      <c r="D43" s="1211"/>
      <c r="E43" s="984"/>
      <c r="F43" s="968"/>
      <c r="G43" s="663"/>
      <c r="H43" s="663"/>
      <c r="I43" s="663"/>
      <c r="J43" s="70">
        <f t="shared" si="2"/>
        <v>0</v>
      </c>
      <c r="K43" s="985"/>
      <c r="L43" s="998"/>
      <c r="M43" s="902"/>
      <c r="N43" s="38"/>
      <c r="P43" s="712"/>
      <c r="Q43" s="713"/>
      <c r="R43" s="713"/>
      <c r="S43" s="713"/>
      <c r="T43" s="713"/>
      <c r="U43" s="713"/>
      <c r="V43" s="713"/>
      <c r="W43" s="713"/>
      <c r="X43" s="713"/>
      <c r="Y43" s="713"/>
      <c r="Z43" s="713"/>
      <c r="AA43" s="713"/>
      <c r="AB43" s="713"/>
      <c r="AC43" s="714"/>
    </row>
    <row r="44" spans="2:29" ht="22.95" customHeight="1">
      <c r="B44" s="46"/>
      <c r="C44" s="1210"/>
      <c r="D44" s="1211"/>
      <c r="E44" s="984"/>
      <c r="F44" s="968"/>
      <c r="G44" s="663"/>
      <c r="H44" s="663"/>
      <c r="I44" s="663"/>
      <c r="J44" s="70">
        <f t="shared" si="2"/>
        <v>0</v>
      </c>
      <c r="K44" s="985"/>
      <c r="L44" s="998"/>
      <c r="M44" s="902"/>
      <c r="N44" s="38"/>
      <c r="P44" s="712"/>
      <c r="Q44" s="713"/>
      <c r="R44" s="713"/>
      <c r="S44" s="713"/>
      <c r="T44" s="713"/>
      <c r="U44" s="713"/>
      <c r="V44" s="713"/>
      <c r="W44" s="713"/>
      <c r="X44" s="713"/>
      <c r="Y44" s="713"/>
      <c r="Z44" s="713"/>
      <c r="AA44" s="713"/>
      <c r="AB44" s="713"/>
      <c r="AC44" s="714"/>
    </row>
    <row r="45" spans="2:29" ht="22.95" customHeight="1">
      <c r="B45" s="46"/>
      <c r="C45" s="1210"/>
      <c r="D45" s="1211"/>
      <c r="E45" s="984"/>
      <c r="F45" s="968"/>
      <c r="G45" s="663"/>
      <c r="H45" s="663"/>
      <c r="I45" s="663"/>
      <c r="J45" s="70">
        <f t="shared" si="2"/>
        <v>0</v>
      </c>
      <c r="K45" s="985"/>
      <c r="L45" s="998"/>
      <c r="M45" s="902"/>
      <c r="N45" s="38"/>
      <c r="P45" s="712"/>
      <c r="Q45" s="713"/>
      <c r="R45" s="713"/>
      <c r="S45" s="713"/>
      <c r="T45" s="713"/>
      <c r="U45" s="713"/>
      <c r="V45" s="713"/>
      <c r="W45" s="713"/>
      <c r="X45" s="713"/>
      <c r="Y45" s="713"/>
      <c r="Z45" s="713"/>
      <c r="AA45" s="713"/>
      <c r="AB45" s="713"/>
      <c r="AC45" s="714"/>
    </row>
    <row r="46" spans="2:29" ht="22.95" customHeight="1">
      <c r="B46" s="46"/>
      <c r="C46" s="1210"/>
      <c r="D46" s="1211"/>
      <c r="E46" s="987"/>
      <c r="F46" s="988"/>
      <c r="G46" s="668"/>
      <c r="H46" s="668"/>
      <c r="I46" s="668"/>
      <c r="J46" s="70">
        <f t="shared" si="2"/>
        <v>0</v>
      </c>
      <c r="K46" s="989"/>
      <c r="L46" s="999"/>
      <c r="M46" s="991"/>
      <c r="N46" s="38"/>
      <c r="P46" s="712"/>
      <c r="Q46" s="713"/>
      <c r="R46" s="713"/>
      <c r="S46" s="713"/>
      <c r="T46" s="713"/>
      <c r="U46" s="713"/>
      <c r="V46" s="713"/>
      <c r="W46" s="713"/>
      <c r="X46" s="713"/>
      <c r="Y46" s="713"/>
      <c r="Z46" s="713"/>
      <c r="AA46" s="713"/>
      <c r="AB46" s="713"/>
      <c r="AC46" s="714"/>
    </row>
    <row r="47" spans="2:29" ht="22.95" customHeight="1">
      <c r="B47" s="46"/>
      <c r="C47" s="1210"/>
      <c r="D47" s="1211"/>
      <c r="E47" s="987"/>
      <c r="F47" s="988"/>
      <c r="G47" s="668"/>
      <c r="H47" s="668"/>
      <c r="I47" s="668"/>
      <c r="J47" s="70">
        <f t="shared" si="2"/>
        <v>0</v>
      </c>
      <c r="K47" s="989"/>
      <c r="L47" s="999"/>
      <c r="M47" s="991"/>
      <c r="N47" s="38"/>
      <c r="P47" s="712"/>
      <c r="Q47" s="713"/>
      <c r="R47" s="713"/>
      <c r="S47" s="713"/>
      <c r="T47" s="713"/>
      <c r="U47" s="713"/>
      <c r="V47" s="713"/>
      <c r="W47" s="713"/>
      <c r="X47" s="713"/>
      <c r="Y47" s="713"/>
      <c r="Z47" s="713"/>
      <c r="AA47" s="713"/>
      <c r="AB47" s="713"/>
      <c r="AC47" s="714"/>
    </row>
    <row r="48" spans="2:29" ht="22.95" customHeight="1">
      <c r="B48" s="46"/>
      <c r="C48" s="1212"/>
      <c r="D48" s="1213"/>
      <c r="E48" s="994"/>
      <c r="F48" s="970"/>
      <c r="G48" s="971"/>
      <c r="H48" s="971"/>
      <c r="I48" s="971"/>
      <c r="J48" s="71">
        <f t="shared" si="2"/>
        <v>0</v>
      </c>
      <c r="K48" s="995"/>
      <c r="L48" s="1000"/>
      <c r="M48" s="993"/>
      <c r="N48" s="38"/>
      <c r="P48" s="712"/>
      <c r="Q48" s="713"/>
      <c r="R48" s="713"/>
      <c r="S48" s="713"/>
      <c r="T48" s="713"/>
      <c r="U48" s="713"/>
      <c r="V48" s="713"/>
      <c r="W48" s="713"/>
      <c r="X48" s="713"/>
      <c r="Y48" s="713"/>
      <c r="Z48" s="713"/>
      <c r="AA48" s="713"/>
      <c r="AB48" s="713"/>
      <c r="AC48" s="714"/>
    </row>
    <row r="49" spans="2:29" ht="22.95" customHeight="1" thickBot="1">
      <c r="B49" s="46"/>
      <c r="C49" s="61" t="s">
        <v>518</v>
      </c>
      <c r="D49" s="62"/>
      <c r="E49" s="69"/>
      <c r="F49" s="69">
        <f>SUM(F42:F48)</f>
        <v>0</v>
      </c>
      <c r="G49" s="69">
        <f>SUM(G42:G48)</f>
        <v>0</v>
      </c>
      <c r="H49" s="69">
        <f>SUM(H42:H48)</f>
        <v>0</v>
      </c>
      <c r="I49" s="69">
        <f>SUM(I42:I48)</f>
        <v>0</v>
      </c>
      <c r="J49" s="69">
        <f>SUM(J42:J48)</f>
        <v>0</v>
      </c>
      <c r="K49" s="188"/>
      <c r="L49" s="69">
        <f>SUM(L42:L48)</f>
        <v>0</v>
      </c>
      <c r="M49" s="63"/>
      <c r="N49" s="38"/>
      <c r="P49" s="712"/>
      <c r="Q49" s="713"/>
      <c r="R49" s="713"/>
      <c r="S49" s="713"/>
      <c r="T49" s="713"/>
      <c r="U49" s="713"/>
      <c r="V49" s="713"/>
      <c r="W49" s="713"/>
      <c r="X49" s="713"/>
      <c r="Y49" s="713"/>
      <c r="Z49" s="713"/>
      <c r="AA49" s="713"/>
      <c r="AB49" s="713"/>
      <c r="AC49" s="714"/>
    </row>
    <row r="50" spans="2:29" ht="28.95" customHeight="1" thickBot="1">
      <c r="B50" s="46"/>
      <c r="C50" s="1217" t="s">
        <v>551</v>
      </c>
      <c r="D50" s="1217"/>
      <c r="E50" s="1217"/>
      <c r="F50" s="1217"/>
      <c r="G50" s="1217"/>
      <c r="H50" s="1217"/>
      <c r="I50" s="1217"/>
      <c r="J50" s="1217"/>
      <c r="K50" s="1217"/>
      <c r="L50" s="1217"/>
      <c r="M50" s="1217"/>
      <c r="N50" s="38"/>
      <c r="P50" s="712"/>
      <c r="Q50" s="713"/>
      <c r="R50" s="713"/>
      <c r="S50" s="713"/>
      <c r="T50" s="713"/>
      <c r="U50" s="713"/>
      <c r="V50" s="713"/>
      <c r="W50" s="713"/>
      <c r="X50" s="713"/>
      <c r="Y50" s="713"/>
      <c r="Z50" s="713"/>
      <c r="AA50" s="713"/>
      <c r="AB50" s="713"/>
      <c r="AC50" s="714"/>
    </row>
    <row r="51" spans="2:29" ht="22.95" customHeight="1">
      <c r="B51" s="46"/>
      <c r="C51" s="1210"/>
      <c r="D51" s="1211"/>
      <c r="E51" s="978"/>
      <c r="F51" s="979"/>
      <c r="G51" s="980"/>
      <c r="H51" s="980"/>
      <c r="I51" s="980"/>
      <c r="J51" s="75">
        <f t="shared" ref="J51:J57" si="3">SUM(F51:I51)</f>
        <v>0</v>
      </c>
      <c r="K51" s="981"/>
      <c r="L51" s="982"/>
      <c r="M51" s="983"/>
      <c r="N51" s="38"/>
      <c r="P51" s="712"/>
      <c r="Q51" s="713"/>
      <c r="R51" s="713"/>
      <c r="S51" s="713"/>
      <c r="T51" s="713"/>
      <c r="U51" s="713"/>
      <c r="V51" s="713"/>
      <c r="W51" s="713"/>
      <c r="X51" s="713"/>
      <c r="Y51" s="713"/>
      <c r="Z51" s="713"/>
      <c r="AA51" s="713"/>
      <c r="AB51" s="713"/>
      <c r="AC51" s="714"/>
    </row>
    <row r="52" spans="2:29" ht="22.95" customHeight="1">
      <c r="B52" s="46"/>
      <c r="C52" s="1210"/>
      <c r="D52" s="1211"/>
      <c r="E52" s="984"/>
      <c r="F52" s="968"/>
      <c r="G52" s="663"/>
      <c r="H52" s="663"/>
      <c r="I52" s="663"/>
      <c r="J52" s="70">
        <f t="shared" si="3"/>
        <v>0</v>
      </c>
      <c r="K52" s="985"/>
      <c r="L52" s="986"/>
      <c r="M52" s="902"/>
      <c r="N52" s="38"/>
      <c r="P52" s="712"/>
      <c r="Q52" s="713"/>
      <c r="R52" s="713"/>
      <c r="S52" s="713"/>
      <c r="T52" s="713"/>
      <c r="U52" s="713"/>
      <c r="V52" s="713"/>
      <c r="W52" s="713"/>
      <c r="X52" s="713"/>
      <c r="Y52" s="713"/>
      <c r="Z52" s="713"/>
      <c r="AA52" s="713"/>
      <c r="AB52" s="713"/>
      <c r="AC52" s="714"/>
    </row>
    <row r="53" spans="2:29" ht="22.95" customHeight="1">
      <c r="B53" s="46"/>
      <c r="C53" s="1210"/>
      <c r="D53" s="1211"/>
      <c r="E53" s="984"/>
      <c r="F53" s="968"/>
      <c r="G53" s="663"/>
      <c r="H53" s="663"/>
      <c r="I53" s="663"/>
      <c r="J53" s="70">
        <f t="shared" si="3"/>
        <v>0</v>
      </c>
      <c r="K53" s="985"/>
      <c r="L53" s="986"/>
      <c r="M53" s="902"/>
      <c r="N53" s="38"/>
      <c r="P53" s="712"/>
      <c r="Q53" s="713"/>
      <c r="R53" s="713"/>
      <c r="S53" s="713"/>
      <c r="T53" s="713"/>
      <c r="U53" s="713"/>
      <c r="V53" s="713"/>
      <c r="W53" s="713"/>
      <c r="X53" s="713"/>
      <c r="Y53" s="713"/>
      <c r="Z53" s="713"/>
      <c r="AA53" s="713"/>
      <c r="AB53" s="713"/>
      <c r="AC53" s="714"/>
    </row>
    <row r="54" spans="2:29" ht="22.95" customHeight="1">
      <c r="B54" s="46"/>
      <c r="C54" s="1210"/>
      <c r="D54" s="1211"/>
      <c r="E54" s="984"/>
      <c r="F54" s="968"/>
      <c r="G54" s="663"/>
      <c r="H54" s="663"/>
      <c r="I54" s="663"/>
      <c r="J54" s="70">
        <f t="shared" si="3"/>
        <v>0</v>
      </c>
      <c r="K54" s="985"/>
      <c r="L54" s="986"/>
      <c r="M54" s="902"/>
      <c r="N54" s="38"/>
      <c r="P54" s="712"/>
      <c r="Q54" s="713"/>
      <c r="R54" s="713"/>
      <c r="S54" s="713"/>
      <c r="T54" s="713"/>
      <c r="U54" s="713"/>
      <c r="V54" s="713"/>
      <c r="W54" s="713"/>
      <c r="X54" s="713"/>
      <c r="Y54" s="713"/>
      <c r="Z54" s="713"/>
      <c r="AA54" s="713"/>
      <c r="AB54" s="713"/>
      <c r="AC54" s="714"/>
    </row>
    <row r="55" spans="2:29" ht="22.95" customHeight="1">
      <c r="B55" s="46"/>
      <c r="C55" s="1210"/>
      <c r="D55" s="1211"/>
      <c r="E55" s="987"/>
      <c r="F55" s="988"/>
      <c r="G55" s="668"/>
      <c r="H55" s="668"/>
      <c r="I55" s="668"/>
      <c r="J55" s="70">
        <f t="shared" si="3"/>
        <v>0</v>
      </c>
      <c r="K55" s="989"/>
      <c r="L55" s="990"/>
      <c r="M55" s="991"/>
      <c r="N55" s="38"/>
      <c r="P55" s="712"/>
      <c r="Q55" s="713"/>
      <c r="R55" s="713"/>
      <c r="S55" s="713"/>
      <c r="T55" s="713"/>
      <c r="U55" s="713"/>
      <c r="V55" s="713"/>
      <c r="W55" s="713"/>
      <c r="X55" s="713"/>
      <c r="Y55" s="713"/>
      <c r="Z55" s="713"/>
      <c r="AA55" s="713"/>
      <c r="AB55" s="713"/>
      <c r="AC55" s="714"/>
    </row>
    <row r="56" spans="2:29" ht="22.95" customHeight="1">
      <c r="B56" s="46"/>
      <c r="C56" s="1210"/>
      <c r="D56" s="1211"/>
      <c r="E56" s="987"/>
      <c r="F56" s="988"/>
      <c r="G56" s="668"/>
      <c r="H56" s="668"/>
      <c r="I56" s="668"/>
      <c r="J56" s="70">
        <f t="shared" si="3"/>
        <v>0</v>
      </c>
      <c r="K56" s="989"/>
      <c r="L56" s="990"/>
      <c r="M56" s="991"/>
      <c r="N56" s="38"/>
      <c r="P56" s="712"/>
      <c r="Q56" s="713"/>
      <c r="R56" s="713"/>
      <c r="S56" s="713"/>
      <c r="T56" s="713"/>
      <c r="U56" s="713"/>
      <c r="V56" s="713"/>
      <c r="W56" s="713"/>
      <c r="X56" s="713"/>
      <c r="Y56" s="713"/>
      <c r="Z56" s="713"/>
      <c r="AA56" s="713"/>
      <c r="AB56" s="713"/>
      <c r="AC56" s="714"/>
    </row>
    <row r="57" spans="2:29" ht="22.95" customHeight="1">
      <c r="B57" s="46"/>
      <c r="C57" s="1212"/>
      <c r="D57" s="1213"/>
      <c r="E57" s="994"/>
      <c r="F57" s="970"/>
      <c r="G57" s="971"/>
      <c r="H57" s="971"/>
      <c r="I57" s="971"/>
      <c r="J57" s="71">
        <f t="shared" si="3"/>
        <v>0</v>
      </c>
      <c r="K57" s="995"/>
      <c r="L57" s="996"/>
      <c r="M57" s="993"/>
      <c r="N57" s="38"/>
      <c r="P57" s="712"/>
      <c r="Q57" s="713"/>
      <c r="R57" s="713"/>
      <c r="S57" s="713"/>
      <c r="T57" s="713"/>
      <c r="U57" s="713"/>
      <c r="V57" s="713"/>
      <c r="W57" s="713"/>
      <c r="X57" s="713"/>
      <c r="Y57" s="713"/>
      <c r="Z57" s="713"/>
      <c r="AA57" s="713"/>
      <c r="AB57" s="713"/>
      <c r="AC57" s="714"/>
    </row>
    <row r="58" spans="2:29" ht="22.95" customHeight="1" thickBot="1">
      <c r="B58" s="46"/>
      <c r="C58" s="61" t="s">
        <v>518</v>
      </c>
      <c r="D58" s="62"/>
      <c r="E58" s="69"/>
      <c r="F58" s="69">
        <f>SUM(F51:F57)</f>
        <v>0</v>
      </c>
      <c r="G58" s="69">
        <f>SUM(G51:G57)</f>
        <v>0</v>
      </c>
      <c r="H58" s="69">
        <f>SUM(H51:H57)</f>
        <v>0</v>
      </c>
      <c r="I58" s="69">
        <f>SUM(I51:I57)</f>
        <v>0</v>
      </c>
      <c r="J58" s="69">
        <f>SUM(J51:J57)</f>
        <v>0</v>
      </c>
      <c r="K58" s="73"/>
      <c r="L58" s="69">
        <f>SUM(L51:L57)</f>
        <v>0</v>
      </c>
      <c r="M58" s="63"/>
      <c r="N58" s="38"/>
      <c r="P58" s="712"/>
      <c r="Q58" s="713"/>
      <c r="R58" s="713"/>
      <c r="S58" s="713"/>
      <c r="T58" s="713"/>
      <c r="U58" s="713"/>
      <c r="V58" s="713"/>
      <c r="W58" s="713"/>
      <c r="X58" s="713"/>
      <c r="Y58" s="713"/>
      <c r="Z58" s="713"/>
      <c r="AA58" s="713"/>
      <c r="AB58" s="713"/>
      <c r="AC58" s="714"/>
    </row>
    <row r="59" spans="2:29" ht="22.95" customHeight="1">
      <c r="B59" s="46"/>
      <c r="C59" s="57"/>
      <c r="D59" s="57"/>
      <c r="E59" s="58"/>
      <c r="F59" s="58"/>
      <c r="G59" s="58"/>
      <c r="H59" s="58"/>
      <c r="I59" s="58"/>
      <c r="J59" s="58"/>
      <c r="K59" s="58"/>
      <c r="L59" s="58"/>
      <c r="M59" s="58"/>
      <c r="N59" s="38"/>
      <c r="P59" s="712"/>
      <c r="Q59" s="713"/>
      <c r="R59" s="713"/>
      <c r="S59" s="713"/>
      <c r="T59" s="713"/>
      <c r="U59" s="713"/>
      <c r="V59" s="713"/>
      <c r="W59" s="713"/>
      <c r="X59" s="713"/>
      <c r="Y59" s="713"/>
      <c r="Z59" s="713"/>
      <c r="AA59" s="713"/>
      <c r="AB59" s="713"/>
      <c r="AC59" s="714"/>
    </row>
    <row r="60" spans="2:29" ht="22.95" customHeight="1">
      <c r="B60" s="46"/>
      <c r="C60" s="67" t="s">
        <v>224</v>
      </c>
      <c r="D60" s="65"/>
      <c r="E60" s="66"/>
      <c r="F60" s="66"/>
      <c r="G60" s="66"/>
      <c r="H60" s="66"/>
      <c r="I60" s="66"/>
      <c r="J60" s="66"/>
      <c r="K60" s="66"/>
      <c r="L60" s="66"/>
      <c r="M60" s="30"/>
      <c r="N60" s="38"/>
      <c r="P60" s="712"/>
      <c r="Q60" s="713"/>
      <c r="R60" s="713"/>
      <c r="S60" s="713"/>
      <c r="T60" s="713"/>
      <c r="U60" s="713"/>
      <c r="V60" s="713"/>
      <c r="W60" s="713"/>
      <c r="X60" s="713"/>
      <c r="Y60" s="713"/>
      <c r="Z60" s="713"/>
      <c r="AA60" s="713"/>
      <c r="AB60" s="713"/>
      <c r="AC60" s="714"/>
    </row>
    <row r="61" spans="2:29" ht="17.399999999999999">
      <c r="B61" s="46"/>
      <c r="C61" s="65" t="s">
        <v>552</v>
      </c>
      <c r="D61" s="65"/>
      <c r="E61" s="66"/>
      <c r="F61" s="66"/>
      <c r="G61" s="66"/>
      <c r="H61" s="66"/>
      <c r="I61" s="66"/>
      <c r="J61" s="66"/>
      <c r="K61" s="66"/>
      <c r="L61" s="66"/>
      <c r="M61" s="30"/>
      <c r="N61" s="38"/>
      <c r="P61" s="712"/>
      <c r="Q61" s="713"/>
      <c r="R61" s="713"/>
      <c r="S61" s="713"/>
      <c r="T61" s="713"/>
      <c r="U61" s="713"/>
      <c r="V61" s="713"/>
      <c r="W61" s="713"/>
      <c r="X61" s="713"/>
      <c r="Y61" s="713"/>
      <c r="Z61" s="713"/>
      <c r="AA61" s="713"/>
      <c r="AB61" s="713"/>
      <c r="AC61" s="714"/>
    </row>
    <row r="62" spans="2:29" ht="17.399999999999999">
      <c r="B62" s="46"/>
      <c r="C62" s="65" t="s">
        <v>553</v>
      </c>
      <c r="D62" s="65"/>
      <c r="E62" s="66"/>
      <c r="F62" s="66"/>
      <c r="G62" s="66"/>
      <c r="H62" s="66"/>
      <c r="I62" s="66"/>
      <c r="J62" s="66"/>
      <c r="K62" s="66"/>
      <c r="L62" s="66"/>
      <c r="M62" s="30"/>
      <c r="N62" s="38"/>
      <c r="P62" s="712"/>
      <c r="Q62" s="713"/>
      <c r="R62" s="713"/>
      <c r="S62" s="713"/>
      <c r="T62" s="713"/>
      <c r="U62" s="713"/>
      <c r="V62" s="713"/>
      <c r="W62" s="713"/>
      <c r="X62" s="713"/>
      <c r="Y62" s="713"/>
      <c r="Z62" s="713"/>
      <c r="AA62" s="713"/>
      <c r="AB62" s="713"/>
      <c r="AC62" s="714"/>
    </row>
    <row r="63" spans="2:29" ht="17.399999999999999">
      <c r="B63" s="46"/>
      <c r="C63" s="65" t="s">
        <v>554</v>
      </c>
      <c r="D63" s="65"/>
      <c r="E63" s="66"/>
      <c r="F63" s="66"/>
      <c r="G63" s="66"/>
      <c r="H63" s="66"/>
      <c r="I63" s="66"/>
      <c r="J63" s="66"/>
      <c r="K63" s="66"/>
      <c r="L63" s="66"/>
      <c r="M63" s="30"/>
      <c r="N63" s="38"/>
      <c r="P63" s="712"/>
      <c r="Q63" s="713"/>
      <c r="R63" s="713"/>
      <c r="S63" s="713"/>
      <c r="T63" s="713"/>
      <c r="U63" s="713"/>
      <c r="V63" s="713"/>
      <c r="W63" s="713"/>
      <c r="X63" s="713"/>
      <c r="Y63" s="713"/>
      <c r="Z63" s="713"/>
      <c r="AA63" s="713"/>
      <c r="AB63" s="713"/>
      <c r="AC63" s="714"/>
    </row>
    <row r="64" spans="2:29" ht="17.399999999999999">
      <c r="B64" s="46"/>
      <c r="C64" s="65" t="s">
        <v>555</v>
      </c>
      <c r="D64" s="65"/>
      <c r="E64" s="66"/>
      <c r="F64" s="66"/>
      <c r="G64" s="66"/>
      <c r="H64" s="66"/>
      <c r="I64" s="66"/>
      <c r="J64" s="66"/>
      <c r="K64" s="66"/>
      <c r="L64" s="66"/>
      <c r="M64" s="30"/>
      <c r="N64" s="38"/>
      <c r="P64" s="712"/>
      <c r="Q64" s="713"/>
      <c r="R64" s="713"/>
      <c r="S64" s="713"/>
      <c r="T64" s="713"/>
      <c r="U64" s="713"/>
      <c r="V64" s="713"/>
      <c r="W64" s="713"/>
      <c r="X64" s="713"/>
      <c r="Y64" s="713"/>
      <c r="Z64" s="713"/>
      <c r="AA64" s="713"/>
      <c r="AB64" s="713"/>
      <c r="AC64" s="714"/>
    </row>
    <row r="65" spans="2:29" ht="17.399999999999999">
      <c r="B65" s="46"/>
      <c r="C65" s="65" t="s">
        <v>556</v>
      </c>
      <c r="D65" s="65"/>
      <c r="E65" s="66"/>
      <c r="F65" s="66"/>
      <c r="G65" s="66"/>
      <c r="H65" s="66"/>
      <c r="I65" s="66"/>
      <c r="J65" s="66"/>
      <c r="K65" s="66"/>
      <c r="L65" s="66"/>
      <c r="M65" s="30"/>
      <c r="N65" s="38"/>
      <c r="P65" s="712"/>
      <c r="Q65" s="713"/>
      <c r="R65" s="713"/>
      <c r="S65" s="713"/>
      <c r="T65" s="713"/>
      <c r="U65" s="713"/>
      <c r="V65" s="713"/>
      <c r="W65" s="713"/>
      <c r="X65" s="713"/>
      <c r="Y65" s="713"/>
      <c r="Z65" s="713"/>
      <c r="AA65" s="713"/>
      <c r="AB65" s="713"/>
      <c r="AC65" s="714"/>
    </row>
    <row r="66" spans="2:29" ht="17.399999999999999">
      <c r="B66" s="46"/>
      <c r="C66" s="65" t="s">
        <v>557</v>
      </c>
      <c r="D66" s="65"/>
      <c r="E66" s="66"/>
      <c r="F66" s="66"/>
      <c r="G66" s="66"/>
      <c r="H66" s="66"/>
      <c r="I66" s="66"/>
      <c r="J66" s="66"/>
      <c r="K66" s="66"/>
      <c r="L66" s="66"/>
      <c r="M66" s="30"/>
      <c r="N66" s="38"/>
      <c r="P66" s="712"/>
      <c r="Q66" s="713"/>
      <c r="R66" s="713"/>
      <c r="S66" s="713"/>
      <c r="T66" s="713"/>
      <c r="U66" s="713"/>
      <c r="V66" s="713"/>
      <c r="W66" s="713"/>
      <c r="X66" s="713"/>
      <c r="Y66" s="713"/>
      <c r="Z66" s="713"/>
      <c r="AA66" s="713"/>
      <c r="AB66" s="713"/>
      <c r="AC66" s="714"/>
    </row>
    <row r="67" spans="2:29" ht="17.399999999999999">
      <c r="B67" s="46"/>
      <c r="C67" s="65" t="s">
        <v>558</v>
      </c>
      <c r="D67" s="65"/>
      <c r="E67" s="66"/>
      <c r="F67" s="66"/>
      <c r="G67" s="66"/>
      <c r="H67" s="66"/>
      <c r="I67" s="66"/>
      <c r="J67" s="66"/>
      <c r="K67" s="66"/>
      <c r="L67" s="66"/>
      <c r="M67" s="30"/>
      <c r="N67" s="38"/>
      <c r="P67" s="712"/>
      <c r="Q67" s="713"/>
      <c r="R67" s="713"/>
      <c r="S67" s="713"/>
      <c r="T67" s="713"/>
      <c r="U67" s="713"/>
      <c r="V67" s="713"/>
      <c r="W67" s="713"/>
      <c r="X67" s="713"/>
      <c r="Y67" s="713"/>
      <c r="Z67" s="713"/>
      <c r="AA67" s="713"/>
      <c r="AB67" s="713"/>
      <c r="AC67" s="714"/>
    </row>
    <row r="68" spans="2:29" ht="17.399999999999999">
      <c r="B68" s="46"/>
      <c r="C68" s="65" t="s">
        <v>559</v>
      </c>
      <c r="D68" s="65"/>
      <c r="E68" s="66"/>
      <c r="F68" s="66"/>
      <c r="G68" s="66"/>
      <c r="H68" s="66"/>
      <c r="I68" s="66"/>
      <c r="J68" s="66"/>
      <c r="K68" s="66"/>
      <c r="L68" s="66"/>
      <c r="M68" s="30"/>
      <c r="N68" s="38"/>
      <c r="P68" s="712"/>
      <c r="Q68" s="713"/>
      <c r="R68" s="713"/>
      <c r="S68" s="713"/>
      <c r="T68" s="713"/>
      <c r="U68" s="713"/>
      <c r="V68" s="713"/>
      <c r="W68" s="713"/>
      <c r="X68" s="713"/>
      <c r="Y68" s="713"/>
      <c r="Z68" s="713"/>
      <c r="AA68" s="713"/>
      <c r="AB68" s="713"/>
      <c r="AC68" s="714"/>
    </row>
    <row r="69" spans="2:29" ht="17.399999999999999">
      <c r="B69" s="46"/>
      <c r="C69" s="65" t="s">
        <v>560</v>
      </c>
      <c r="D69" s="65"/>
      <c r="E69" s="66"/>
      <c r="F69" s="66"/>
      <c r="G69" s="66"/>
      <c r="H69" s="66"/>
      <c r="I69" s="66"/>
      <c r="J69" s="66"/>
      <c r="K69" s="66"/>
      <c r="L69" s="66"/>
      <c r="M69" s="30"/>
      <c r="N69" s="38"/>
      <c r="P69" s="712"/>
      <c r="Q69" s="713"/>
      <c r="R69" s="713"/>
      <c r="S69" s="713"/>
      <c r="T69" s="713"/>
      <c r="U69" s="713"/>
      <c r="V69" s="713"/>
      <c r="W69" s="713"/>
      <c r="X69" s="713"/>
      <c r="Y69" s="713"/>
      <c r="Z69" s="713"/>
      <c r="AA69" s="713"/>
      <c r="AB69" s="713"/>
      <c r="AC69" s="714"/>
    </row>
    <row r="70" spans="2:29" ht="17.399999999999999">
      <c r="B70" s="46"/>
      <c r="C70" s="65" t="s">
        <v>561</v>
      </c>
      <c r="D70" s="65"/>
      <c r="E70" s="66"/>
      <c r="F70" s="66"/>
      <c r="G70" s="66"/>
      <c r="H70" s="66"/>
      <c r="I70" s="66"/>
      <c r="J70" s="66"/>
      <c r="K70" s="66"/>
      <c r="L70" s="66"/>
      <c r="M70" s="30"/>
      <c r="N70" s="38"/>
      <c r="P70" s="712"/>
      <c r="Q70" s="713"/>
      <c r="R70" s="713"/>
      <c r="S70" s="713"/>
      <c r="T70" s="713"/>
      <c r="U70" s="713"/>
      <c r="V70" s="713"/>
      <c r="W70" s="713"/>
      <c r="X70" s="713"/>
      <c r="Y70" s="713"/>
      <c r="Z70" s="713"/>
      <c r="AA70" s="713"/>
      <c r="AB70" s="713"/>
      <c r="AC70" s="714"/>
    </row>
    <row r="71" spans="2:29" ht="22.95" customHeight="1" thickBot="1">
      <c r="B71" s="49"/>
      <c r="C71" s="1154"/>
      <c r="D71" s="1154"/>
      <c r="E71" s="1154"/>
      <c r="F71" s="1154"/>
      <c r="G71" s="25"/>
      <c r="H71" s="25"/>
      <c r="I71" s="25"/>
      <c r="J71" s="25"/>
      <c r="K71" s="25"/>
      <c r="L71" s="25"/>
      <c r="M71" s="50"/>
      <c r="N71" s="51"/>
      <c r="P71" s="715"/>
      <c r="Q71" s="716"/>
      <c r="R71" s="716"/>
      <c r="S71" s="716"/>
      <c r="T71" s="716"/>
      <c r="U71" s="716"/>
      <c r="V71" s="716"/>
      <c r="W71" s="716"/>
      <c r="X71" s="716"/>
      <c r="Y71" s="716"/>
      <c r="Z71" s="716"/>
      <c r="AA71" s="716"/>
      <c r="AB71" s="716"/>
      <c r="AC71" s="717"/>
    </row>
    <row r="72" spans="2:29" ht="22.95" customHeight="1">
      <c r="O72" s="31" t="s">
        <v>179</v>
      </c>
    </row>
    <row r="73" spans="2:29" ht="13.2">
      <c r="C73" s="52" t="s">
        <v>52</v>
      </c>
      <c r="M73" s="29" t="s">
        <v>562</v>
      </c>
    </row>
    <row r="74" spans="2:29" ht="13.2">
      <c r="C74" s="52" t="s">
        <v>54</v>
      </c>
    </row>
    <row r="75" spans="2:29" ht="13.2">
      <c r="C75" s="52" t="s">
        <v>55</v>
      </c>
    </row>
    <row r="76" spans="2:29" ht="13.2">
      <c r="C76" s="52" t="s">
        <v>56</v>
      </c>
    </row>
    <row r="77" spans="2:29" ht="13.2">
      <c r="C77" s="52" t="s">
        <v>57</v>
      </c>
    </row>
  </sheetData>
  <sheetProtection algorithmName="SHA-512" hashValue="OC6Elxwmnm65WvhMGqv0eb/orOcbUKPpux3BQQ0guGgPuHOsMYTjDkfAYjYwmRShXcaIPJko9ElJB0tB9PnBOg==" saltValue="7+drr6crKYQ2+G4riZFaCA==" spinCount="100000" sheet="1" objects="1" scenarios="1" insertRows="0"/>
  <mergeCells count="39">
    <mergeCell ref="C71:F71"/>
    <mergeCell ref="G15:I15"/>
    <mergeCell ref="C17:M17"/>
    <mergeCell ref="C26:M26"/>
    <mergeCell ref="G39:I39"/>
    <mergeCell ref="M39:M40"/>
    <mergeCell ref="C41:M41"/>
    <mergeCell ref="C50:M50"/>
    <mergeCell ref="C18:D18"/>
    <mergeCell ref="C19:D19"/>
    <mergeCell ref="C20:D20"/>
    <mergeCell ref="C21:D21"/>
    <mergeCell ref="C22:D22"/>
    <mergeCell ref="C23:D23"/>
    <mergeCell ref="C27:D27"/>
    <mergeCell ref="C28:D28"/>
    <mergeCell ref="M6:M7"/>
    <mergeCell ref="D9:M9"/>
    <mergeCell ref="C12:D12"/>
    <mergeCell ref="M15:M16"/>
    <mergeCell ref="C29:D29"/>
    <mergeCell ref="C30:D30"/>
    <mergeCell ref="C31:D31"/>
    <mergeCell ref="C32:D32"/>
    <mergeCell ref="C33:D33"/>
    <mergeCell ref="C42:D42"/>
    <mergeCell ref="C43:D43"/>
    <mergeCell ref="C44:D44"/>
    <mergeCell ref="C45:D45"/>
    <mergeCell ref="C46:D46"/>
    <mergeCell ref="C54:D54"/>
    <mergeCell ref="C55:D55"/>
    <mergeCell ref="C56:D56"/>
    <mergeCell ref="C57:D57"/>
    <mergeCell ref="C47:D47"/>
    <mergeCell ref="C48:D48"/>
    <mergeCell ref="C51:D51"/>
    <mergeCell ref="C52:D52"/>
    <mergeCell ref="C53:D53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4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2:AJ141"/>
  <sheetViews>
    <sheetView topLeftCell="A53" zoomScale="80" zoomScaleNormal="80" zoomScalePageLayoutView="125" workbookViewId="0">
      <selection activeCell="F59" sqref="F59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35.54296875" style="31" customWidth="1"/>
    <col min="5" max="5" width="27.81640625" style="32" customWidth="1"/>
    <col min="6" max="6" width="19.453125" style="32" customWidth="1"/>
    <col min="7" max="13" width="15.1796875" style="32" customWidth="1"/>
    <col min="14" max="14" width="12.81640625" style="32" customWidth="1"/>
    <col min="15" max="17" width="9.54296875" style="32" customWidth="1"/>
    <col min="18" max="18" width="13" style="32" customWidth="1"/>
    <col min="19" max="20" width="3.453125" style="31" customWidth="1"/>
    <col min="21" max="22" width="10.54296875" style="31"/>
    <col min="23" max="23" width="14.453125" style="31" customWidth="1"/>
    <col min="24" max="24" width="16.1796875" style="31" customWidth="1"/>
    <col min="25" max="16384" width="10.54296875" style="31"/>
  </cols>
  <sheetData>
    <row r="2" spans="1:36" ht="22.95" customHeight="1">
      <c r="D2" s="318" t="str">
        <f>_GENERAL!D2</f>
        <v>Área de la Presidenta: Igualdad y Diversidad, Hacienda y Proyectos Estratégicos</v>
      </c>
    </row>
    <row r="3" spans="1:36" ht="22.95" customHeight="1">
      <c r="D3" s="318" t="str">
        <f>_GENERAL!D3</f>
        <v>Dirección Insular de Hacienda</v>
      </c>
    </row>
    <row r="4" spans="1:36" ht="22.95" customHeight="1" thickBot="1">
      <c r="A4" s="31" t="s">
        <v>129</v>
      </c>
    </row>
    <row r="5" spans="1:36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6"/>
      <c r="U5" s="700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2"/>
    </row>
    <row r="6" spans="1:36" ht="30" customHeight="1">
      <c r="B6" s="37"/>
      <c r="C6" s="28" t="s">
        <v>2</v>
      </c>
      <c r="Q6" s="1138">
        <f>ejercicio</f>
        <v>2025</v>
      </c>
      <c r="R6" s="675"/>
      <c r="S6" s="38"/>
      <c r="U6" s="163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6"/>
    </row>
    <row r="7" spans="1:36" ht="30" customHeight="1">
      <c r="B7" s="37"/>
      <c r="C7" s="28" t="s">
        <v>3</v>
      </c>
      <c r="Q7" s="1138"/>
      <c r="R7" s="675"/>
      <c r="S7" s="38"/>
      <c r="U7" s="703"/>
      <c r="V7" s="731" t="s">
        <v>130</v>
      </c>
      <c r="W7" s="704"/>
      <c r="X7" s="704"/>
      <c r="Y7" s="704"/>
      <c r="Z7" s="704"/>
      <c r="AA7" s="704"/>
      <c r="AB7" s="704"/>
      <c r="AC7" s="704"/>
      <c r="AD7" s="704"/>
      <c r="AE7" s="704"/>
      <c r="AF7" s="704"/>
      <c r="AG7" s="704"/>
      <c r="AH7" s="705"/>
    </row>
    <row r="8" spans="1:36" ht="30" customHeight="1">
      <c r="B8" s="37"/>
      <c r="C8" s="39"/>
      <c r="P8" s="40"/>
      <c r="Q8" s="40"/>
      <c r="R8" s="40"/>
      <c r="S8" s="38"/>
      <c r="U8" s="706"/>
      <c r="V8" s="707"/>
      <c r="W8" s="707"/>
      <c r="X8" s="707"/>
      <c r="Y8" s="707"/>
      <c r="Z8" s="707"/>
      <c r="AA8" s="707"/>
      <c r="AB8" s="707"/>
      <c r="AC8" s="707"/>
      <c r="AD8" s="707"/>
      <c r="AE8" s="707"/>
      <c r="AF8" s="707"/>
      <c r="AG8" s="707"/>
      <c r="AH8" s="708"/>
    </row>
    <row r="9" spans="1:36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1155"/>
      <c r="Q9" s="1155"/>
      <c r="R9" s="233"/>
      <c r="S9" s="825"/>
      <c r="T9" s="892"/>
      <c r="U9" s="706"/>
      <c r="V9" s="1244" t="s">
        <v>563</v>
      </c>
      <c r="W9" s="1244"/>
      <c r="X9" s="707"/>
      <c r="Y9" s="707"/>
      <c r="Z9" s="707"/>
      <c r="AA9" s="707"/>
      <c r="AB9" s="707"/>
      <c r="AC9" s="707"/>
      <c r="AD9" s="707"/>
      <c r="AE9" s="707"/>
      <c r="AF9" s="707"/>
      <c r="AG9" s="707"/>
      <c r="AH9" s="708"/>
      <c r="AI9" s="892"/>
      <c r="AJ9" s="892"/>
    </row>
    <row r="10" spans="1:36" ht="7.2" customHeight="1">
      <c r="B10" s="37"/>
      <c r="S10" s="38"/>
      <c r="U10" s="163"/>
      <c r="AH10" s="166"/>
    </row>
    <row r="11" spans="1:36" s="45" customFormat="1" ht="30" customHeight="1">
      <c r="B11" s="41"/>
      <c r="C11" s="42" t="s">
        <v>564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4"/>
      <c r="U11" s="706"/>
      <c r="V11" s="1245" t="s">
        <v>565</v>
      </c>
      <c r="W11" s="1246"/>
      <c r="X11" s="1246"/>
      <c r="Y11" s="1246"/>
      <c r="Z11" s="1246"/>
      <c r="AA11" s="1246"/>
      <c r="AB11" s="1246"/>
      <c r="AC11" s="1246"/>
      <c r="AD11" s="1246"/>
      <c r="AE11" s="1246"/>
      <c r="AF11" s="1246"/>
      <c r="AG11" s="1247"/>
      <c r="AH11" s="708"/>
      <c r="AI11" s="27"/>
      <c r="AJ11" s="27"/>
    </row>
    <row r="12" spans="1:36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44"/>
      <c r="U12" s="706"/>
      <c r="V12" s="801" t="s">
        <v>566</v>
      </c>
      <c r="W12" s="802"/>
      <c r="X12" s="802"/>
      <c r="Y12" s="802"/>
      <c r="Z12" s="802"/>
      <c r="AA12" s="802"/>
      <c r="AB12" s="802"/>
      <c r="AC12" s="802"/>
      <c r="AD12" s="802"/>
      <c r="AE12" s="802"/>
      <c r="AF12" s="802"/>
      <c r="AG12" s="803"/>
      <c r="AH12" s="708"/>
      <c r="AI12" s="27"/>
      <c r="AJ12" s="27"/>
    </row>
    <row r="13" spans="1:36" s="45" customFormat="1" ht="30" customHeight="1">
      <c r="B13" s="41"/>
      <c r="C13" s="27" t="s">
        <v>567</v>
      </c>
      <c r="D13" s="8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44"/>
      <c r="U13" s="706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7"/>
      <c r="AG13" s="707"/>
      <c r="AH13" s="708"/>
      <c r="AI13" s="27"/>
      <c r="AJ13" s="27"/>
    </row>
    <row r="14" spans="1:36" s="45" customFormat="1" ht="30" customHeight="1">
      <c r="B14" s="41"/>
      <c r="C14" s="8" t="s">
        <v>568</v>
      </c>
      <c r="D14" s="8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44"/>
      <c r="U14" s="706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7"/>
      <c r="AG14" s="707"/>
      <c r="AH14" s="708"/>
      <c r="AI14" s="27"/>
      <c r="AJ14" s="27"/>
    </row>
    <row r="15" spans="1:36" s="45" customFormat="1" ht="30" customHeight="1">
      <c r="B15" s="41"/>
      <c r="C15" s="1218"/>
      <c r="D15" s="1219"/>
      <c r="E15" s="1218" t="s">
        <v>569</v>
      </c>
      <c r="F15" s="1219"/>
      <c r="G15" s="1222" t="s">
        <v>570</v>
      </c>
      <c r="H15" s="1223"/>
      <c r="I15" s="1223"/>
      <c r="J15" s="1223"/>
      <c r="K15" s="1223"/>
      <c r="L15" s="1224"/>
      <c r="M15" s="1225" t="s">
        <v>571</v>
      </c>
      <c r="N15" s="1226"/>
      <c r="O15" s="299"/>
      <c r="P15" s="299"/>
      <c r="Q15" s="299"/>
      <c r="R15" s="299"/>
      <c r="S15" s="44"/>
      <c r="U15" s="706"/>
      <c r="V15" s="707"/>
      <c r="W15" s="1243" t="s">
        <v>572</v>
      </c>
      <c r="X15" s="1243"/>
      <c r="Y15" s="707"/>
      <c r="Z15" s="707"/>
      <c r="AA15" s="707"/>
      <c r="AB15" s="707"/>
      <c r="AC15" s="707"/>
      <c r="AD15" s="707"/>
      <c r="AE15" s="707"/>
      <c r="AF15" s="707"/>
      <c r="AG15" s="707"/>
      <c r="AH15" s="708"/>
    </row>
    <row r="16" spans="1:36" s="297" customFormat="1" ht="36" customHeight="1">
      <c r="B16" s="298"/>
      <c r="C16" s="1220" t="s">
        <v>573</v>
      </c>
      <c r="D16" s="1221"/>
      <c r="E16" s="1220" t="s">
        <v>574</v>
      </c>
      <c r="F16" s="1232"/>
      <c r="G16" s="330" t="s">
        <v>575</v>
      </c>
      <c r="H16" s="1229">
        <f>ejercicio-1</f>
        <v>2024</v>
      </c>
      <c r="I16" s="1224"/>
      <c r="J16" s="331" t="s">
        <v>575</v>
      </c>
      <c r="K16" s="1229">
        <f>ejercicio</f>
        <v>2025</v>
      </c>
      <c r="L16" s="1224"/>
      <c r="M16" s="1227" t="s">
        <v>576</v>
      </c>
      <c r="N16" s="1228"/>
      <c r="O16" s="302"/>
      <c r="P16" s="302"/>
      <c r="Q16" s="302"/>
      <c r="R16" s="302" t="s">
        <v>577</v>
      </c>
      <c r="S16" s="301"/>
      <c r="U16" s="712"/>
      <c r="V16" s="713"/>
      <c r="W16" s="1243"/>
      <c r="X16" s="1243"/>
      <c r="Y16" s="707"/>
      <c r="Z16" s="713"/>
      <c r="AA16" s="713"/>
      <c r="AB16" s="713"/>
      <c r="AC16" s="713"/>
      <c r="AD16" s="713"/>
      <c r="AE16" s="713"/>
      <c r="AF16" s="713"/>
      <c r="AG16" s="713"/>
      <c r="AH16" s="714"/>
    </row>
    <row r="17" spans="1:34" s="60" customFormat="1" ht="22.95" customHeight="1">
      <c r="A17" s="571"/>
      <c r="B17" s="1001"/>
      <c r="C17" s="1230" t="s">
        <v>578</v>
      </c>
      <c r="D17" s="1231"/>
      <c r="E17" s="1230"/>
      <c r="F17" s="1233"/>
      <c r="G17" s="324">
        <f>ejercicio-1</f>
        <v>2024</v>
      </c>
      <c r="H17" s="760" t="s">
        <v>579</v>
      </c>
      <c r="I17" s="761" t="s">
        <v>580</v>
      </c>
      <c r="J17" s="325">
        <f>ejercicio</f>
        <v>2025</v>
      </c>
      <c r="K17" s="760" t="s">
        <v>579</v>
      </c>
      <c r="L17" s="761" t="s">
        <v>580</v>
      </c>
      <c r="M17" s="323">
        <f>ejercicio-1</f>
        <v>2024</v>
      </c>
      <c r="N17" s="300">
        <f>ejercicio</f>
        <v>2025</v>
      </c>
      <c r="O17" s="300" t="s">
        <v>581</v>
      </c>
      <c r="P17" s="300" t="s">
        <v>582</v>
      </c>
      <c r="Q17" s="300" t="s">
        <v>583</v>
      </c>
      <c r="R17" s="300" t="s">
        <v>584</v>
      </c>
      <c r="S17" s="1002"/>
      <c r="T17" s="571"/>
      <c r="U17" s="712"/>
      <c r="V17" s="713"/>
      <c r="W17" s="323">
        <f>ejercicio-1</f>
        <v>2024</v>
      </c>
      <c r="X17" s="300">
        <f>ejercicio</f>
        <v>2025</v>
      </c>
      <c r="Y17" s="707"/>
      <c r="Z17" s="713"/>
      <c r="AA17" s="713"/>
      <c r="AB17" s="713"/>
      <c r="AC17" s="713"/>
      <c r="AD17" s="713"/>
      <c r="AE17" s="713"/>
      <c r="AF17" s="713"/>
      <c r="AG17" s="713"/>
      <c r="AH17" s="714"/>
    </row>
    <row r="18" spans="1:34" s="77" customFormat="1" ht="7.95" customHeight="1">
      <c r="A18" s="892"/>
      <c r="B18" s="824"/>
      <c r="C18" s="28"/>
      <c r="D18" s="28"/>
      <c r="E18" s="28"/>
      <c r="F18" s="892"/>
      <c r="G18" s="28"/>
      <c r="H18" s="28"/>
      <c r="I18" s="28"/>
      <c r="J18" s="28"/>
      <c r="K18" s="28"/>
      <c r="L18" s="28"/>
      <c r="M18" s="28"/>
      <c r="N18" s="76"/>
      <c r="O18" s="76"/>
      <c r="P18" s="76"/>
      <c r="Q18" s="76"/>
      <c r="R18" s="76"/>
      <c r="S18" s="825"/>
      <c r="T18" s="892"/>
      <c r="U18" s="706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7"/>
      <c r="AG18" s="707"/>
      <c r="AH18" s="708"/>
    </row>
    <row r="19" spans="1:34" s="17" customFormat="1" ht="22.95" customHeight="1">
      <c r="A19" s="892"/>
      <c r="B19" s="824"/>
      <c r="C19" s="212" t="s">
        <v>535</v>
      </c>
      <c r="D19" s="677"/>
      <c r="E19" s="677"/>
      <c r="F19" s="677"/>
      <c r="G19" s="327">
        <f>H19+I19</f>
        <v>34200.07</v>
      </c>
      <c r="H19" s="189">
        <v>26740.450100000002</v>
      </c>
      <c r="I19" s="326">
        <v>7459.6198999999979</v>
      </c>
      <c r="J19" s="327">
        <f>+K19+L19</f>
        <v>28233.663510000002</v>
      </c>
      <c r="K19" s="846">
        <f>+H44</f>
        <v>21739.920100000003</v>
      </c>
      <c r="L19" s="847">
        <f>+I44</f>
        <v>6493.7434099999982</v>
      </c>
      <c r="M19" s="425"/>
      <c r="N19" s="425"/>
      <c r="O19" s="425"/>
      <c r="P19" s="425"/>
      <c r="Q19" s="425"/>
      <c r="R19" s="425"/>
      <c r="S19" s="47"/>
      <c r="U19" s="706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7"/>
      <c r="AG19" s="707"/>
      <c r="AH19" s="708"/>
    </row>
    <row r="20" spans="1:34" s="17" customFormat="1" ht="9" customHeight="1">
      <c r="A20" s="892"/>
      <c r="B20" s="824"/>
      <c r="O20" s="343"/>
      <c r="P20" s="343"/>
      <c r="Q20" s="343"/>
      <c r="R20" s="343"/>
      <c r="S20" s="47"/>
      <c r="U20" s="706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7"/>
      <c r="AG20" s="707"/>
      <c r="AH20" s="708"/>
    </row>
    <row r="21" spans="1:34" s="17" customFormat="1" ht="22.95" customHeight="1">
      <c r="A21" s="892"/>
      <c r="B21" s="824"/>
      <c r="C21" s="346"/>
      <c r="D21" s="934"/>
      <c r="E21" s="1124" t="s">
        <v>52</v>
      </c>
      <c r="F21" s="1004"/>
      <c r="G21" s="1005">
        <f>H21+I21</f>
        <v>0</v>
      </c>
      <c r="H21" s="965"/>
      <c r="I21" s="1006"/>
      <c r="J21" s="1007">
        <f>K21+L21</f>
        <v>0</v>
      </c>
      <c r="K21" s="1004"/>
      <c r="L21" s="1008"/>
      <c r="M21" s="1004"/>
      <c r="N21" s="1004"/>
      <c r="O21" s="762"/>
      <c r="P21" s="762"/>
      <c r="Q21" s="1009"/>
      <c r="R21" s="796"/>
      <c r="S21" s="47"/>
      <c r="U21" s="732" t="str">
        <f t="shared" ref="U21:U40" si="0">IF(AND((G21=M21),(J21=N21)),"","Explicar diferencia entre la aportación s/criterio Entidad y s/criterio Cabildo o AAPP")</f>
        <v/>
      </c>
      <c r="V21" s="707"/>
      <c r="W21" s="707"/>
      <c r="X21" s="707"/>
      <c r="Y21" s="730"/>
      <c r="Z21" s="707"/>
      <c r="AA21" s="707"/>
      <c r="AB21" s="707"/>
      <c r="AC21" s="707"/>
      <c r="AD21" s="707"/>
      <c r="AE21" s="707"/>
      <c r="AF21" s="707"/>
      <c r="AG21" s="707"/>
      <c r="AH21" s="708"/>
    </row>
    <row r="22" spans="1:34" s="17" customFormat="1" ht="22.95" customHeight="1">
      <c r="B22" s="46"/>
      <c r="C22" s="600"/>
      <c r="D22" s="601"/>
      <c r="E22" s="1003"/>
      <c r="F22" s="982"/>
      <c r="G22" s="1010">
        <f>H22+I22</f>
        <v>0</v>
      </c>
      <c r="H22" s="979"/>
      <c r="I22" s="1011"/>
      <c r="J22" s="1012">
        <f>K22+L22</f>
        <v>0</v>
      </c>
      <c r="K22" s="982"/>
      <c r="L22" s="1013"/>
      <c r="M22" s="982"/>
      <c r="N22" s="982"/>
      <c r="O22" s="763"/>
      <c r="P22" s="763"/>
      <c r="Q22" s="1014"/>
      <c r="R22" s="797"/>
      <c r="S22" s="47"/>
      <c r="U22" s="732" t="str">
        <f t="shared" si="0"/>
        <v/>
      </c>
      <c r="V22" s="707"/>
      <c r="W22" s="707"/>
      <c r="X22" s="707"/>
      <c r="Y22" s="730"/>
      <c r="Z22" s="707"/>
      <c r="AA22" s="707"/>
      <c r="AB22" s="707"/>
      <c r="AC22" s="707"/>
      <c r="AD22" s="707"/>
      <c r="AE22" s="707"/>
      <c r="AF22" s="707"/>
      <c r="AG22" s="707"/>
      <c r="AH22" s="708"/>
    </row>
    <row r="23" spans="1:34" s="17" customFormat="1" ht="22.95" customHeight="1">
      <c r="B23" s="46"/>
      <c r="C23" s="600"/>
      <c r="D23" s="601"/>
      <c r="E23" s="1003"/>
      <c r="F23" s="982"/>
      <c r="G23" s="1010">
        <f t="shared" ref="G23:G35" si="1">H23+I23</f>
        <v>0</v>
      </c>
      <c r="H23" s="979"/>
      <c r="I23" s="1011"/>
      <c r="J23" s="1012">
        <f t="shared" ref="J23:J35" si="2">K23+L23</f>
        <v>0</v>
      </c>
      <c r="K23" s="982"/>
      <c r="L23" s="1013"/>
      <c r="M23" s="982"/>
      <c r="N23" s="982"/>
      <c r="O23" s="763"/>
      <c r="P23" s="763"/>
      <c r="Q23" s="1014"/>
      <c r="R23" s="797"/>
      <c r="S23" s="47"/>
      <c r="U23" s="732" t="str">
        <f t="shared" si="0"/>
        <v/>
      </c>
      <c r="V23" s="707"/>
      <c r="W23" s="707"/>
      <c r="X23" s="707"/>
      <c r="Y23" s="730"/>
      <c r="Z23" s="707"/>
      <c r="AA23" s="707"/>
      <c r="AB23" s="707"/>
      <c r="AC23" s="707"/>
      <c r="AD23" s="707"/>
      <c r="AE23" s="707"/>
      <c r="AF23" s="707"/>
      <c r="AG23" s="707"/>
      <c r="AH23" s="708"/>
    </row>
    <row r="24" spans="1:34" s="17" customFormat="1" ht="22.95" customHeight="1">
      <c r="B24" s="46"/>
      <c r="C24" s="600"/>
      <c r="D24" s="601"/>
      <c r="E24" s="1003"/>
      <c r="F24" s="982"/>
      <c r="G24" s="1010">
        <f t="shared" si="1"/>
        <v>0</v>
      </c>
      <c r="H24" s="979"/>
      <c r="I24" s="1011"/>
      <c r="J24" s="1012">
        <f t="shared" si="2"/>
        <v>0</v>
      </c>
      <c r="K24" s="982"/>
      <c r="L24" s="1013"/>
      <c r="M24" s="982"/>
      <c r="N24" s="982"/>
      <c r="O24" s="763"/>
      <c r="P24" s="763"/>
      <c r="Q24" s="1014"/>
      <c r="R24" s="797"/>
      <c r="S24" s="47"/>
      <c r="U24" s="732" t="str">
        <f t="shared" si="0"/>
        <v/>
      </c>
      <c r="V24" s="707"/>
      <c r="W24" s="707"/>
      <c r="X24" s="707"/>
      <c r="Y24" s="730"/>
      <c r="Z24" s="707"/>
      <c r="AA24" s="707"/>
      <c r="AB24" s="707"/>
      <c r="AC24" s="707"/>
      <c r="AD24" s="707"/>
      <c r="AE24" s="707"/>
      <c r="AF24" s="707"/>
      <c r="AG24" s="707"/>
      <c r="AH24" s="708"/>
    </row>
    <row r="25" spans="1:34" s="17" customFormat="1" ht="22.95" customHeight="1">
      <c r="B25" s="46"/>
      <c r="C25" s="600"/>
      <c r="D25" s="601"/>
      <c r="E25" s="1003"/>
      <c r="F25" s="982"/>
      <c r="G25" s="1010">
        <f t="shared" si="1"/>
        <v>0</v>
      </c>
      <c r="H25" s="979"/>
      <c r="I25" s="1011"/>
      <c r="J25" s="1012">
        <f t="shared" si="2"/>
        <v>0</v>
      </c>
      <c r="K25" s="982"/>
      <c r="L25" s="1013"/>
      <c r="M25" s="982"/>
      <c r="N25" s="982"/>
      <c r="O25" s="763"/>
      <c r="P25" s="763"/>
      <c r="Q25" s="1014"/>
      <c r="R25" s="797"/>
      <c r="S25" s="47"/>
      <c r="U25" s="732" t="str">
        <f t="shared" si="0"/>
        <v/>
      </c>
      <c r="V25" s="707"/>
      <c r="W25" s="707"/>
      <c r="X25" s="707"/>
      <c r="Y25" s="730"/>
      <c r="Z25" s="707"/>
      <c r="AA25" s="707"/>
      <c r="AB25" s="707"/>
      <c r="AC25" s="707"/>
      <c r="AD25" s="707"/>
      <c r="AE25" s="707"/>
      <c r="AF25" s="707"/>
      <c r="AG25" s="707"/>
      <c r="AH25" s="708"/>
    </row>
    <row r="26" spans="1:34" s="17" customFormat="1" ht="22.95" customHeight="1">
      <c r="B26" s="46"/>
      <c r="C26" s="600"/>
      <c r="D26" s="601"/>
      <c r="E26" s="1003"/>
      <c r="F26" s="982"/>
      <c r="G26" s="1010">
        <f t="shared" si="1"/>
        <v>0</v>
      </c>
      <c r="H26" s="979"/>
      <c r="I26" s="1011"/>
      <c r="J26" s="1012">
        <f t="shared" si="2"/>
        <v>0</v>
      </c>
      <c r="K26" s="982"/>
      <c r="L26" s="1013"/>
      <c r="M26" s="982"/>
      <c r="N26" s="982"/>
      <c r="O26" s="763"/>
      <c r="P26" s="763"/>
      <c r="Q26" s="1014"/>
      <c r="R26" s="797"/>
      <c r="S26" s="47"/>
      <c r="U26" s="732" t="str">
        <f t="shared" si="0"/>
        <v/>
      </c>
      <c r="V26" s="707"/>
      <c r="W26" s="707"/>
      <c r="X26" s="707"/>
      <c r="Y26" s="730"/>
      <c r="Z26" s="707"/>
      <c r="AA26" s="707"/>
      <c r="AB26" s="707"/>
      <c r="AC26" s="707"/>
      <c r="AD26" s="707"/>
      <c r="AE26" s="707"/>
      <c r="AF26" s="707"/>
      <c r="AG26" s="707"/>
      <c r="AH26" s="708"/>
    </row>
    <row r="27" spans="1:34" s="17" customFormat="1" ht="22.95" customHeight="1">
      <c r="B27" s="46"/>
      <c r="C27" s="600"/>
      <c r="D27" s="601"/>
      <c r="E27" s="1003"/>
      <c r="F27" s="982"/>
      <c r="G27" s="1010">
        <f t="shared" si="1"/>
        <v>0</v>
      </c>
      <c r="H27" s="979"/>
      <c r="I27" s="1011"/>
      <c r="J27" s="1012">
        <f t="shared" si="2"/>
        <v>0</v>
      </c>
      <c r="K27" s="982"/>
      <c r="L27" s="1013"/>
      <c r="M27" s="982"/>
      <c r="N27" s="982"/>
      <c r="O27" s="763"/>
      <c r="P27" s="763"/>
      <c r="Q27" s="1014"/>
      <c r="R27" s="797"/>
      <c r="S27" s="47"/>
      <c r="U27" s="732" t="str">
        <f t="shared" si="0"/>
        <v/>
      </c>
      <c r="V27" s="707"/>
      <c r="W27" s="707"/>
      <c r="X27" s="707"/>
      <c r="Y27" s="730"/>
      <c r="Z27" s="707"/>
      <c r="AA27" s="707"/>
      <c r="AB27" s="707"/>
      <c r="AC27" s="707"/>
      <c r="AD27" s="707"/>
      <c r="AE27" s="707"/>
      <c r="AF27" s="707"/>
      <c r="AG27" s="707"/>
      <c r="AH27" s="708"/>
    </row>
    <row r="28" spans="1:34" s="17" customFormat="1" ht="22.95" customHeight="1">
      <c r="B28" s="46"/>
      <c r="C28" s="600"/>
      <c r="D28" s="601"/>
      <c r="E28" s="1003"/>
      <c r="F28" s="982"/>
      <c r="G28" s="1010">
        <f t="shared" si="1"/>
        <v>0</v>
      </c>
      <c r="H28" s="979"/>
      <c r="I28" s="1011"/>
      <c r="J28" s="1012">
        <f t="shared" si="2"/>
        <v>0</v>
      </c>
      <c r="K28" s="982"/>
      <c r="L28" s="1013"/>
      <c r="M28" s="982"/>
      <c r="N28" s="982"/>
      <c r="O28" s="763"/>
      <c r="P28" s="763"/>
      <c r="Q28" s="1014"/>
      <c r="R28" s="797"/>
      <c r="S28" s="47"/>
      <c r="U28" s="732" t="str">
        <f t="shared" si="0"/>
        <v/>
      </c>
      <c r="V28" s="707"/>
      <c r="W28" s="707"/>
      <c r="X28" s="707"/>
      <c r="Y28" s="730"/>
      <c r="Z28" s="707"/>
      <c r="AA28" s="707"/>
      <c r="AB28" s="707"/>
      <c r="AC28" s="707"/>
      <c r="AD28" s="707"/>
      <c r="AE28" s="707"/>
      <c r="AF28" s="707"/>
      <c r="AG28" s="707"/>
      <c r="AH28" s="708"/>
    </row>
    <row r="29" spans="1:34" s="17" customFormat="1" ht="22.95" customHeight="1">
      <c r="B29" s="46"/>
      <c r="C29" s="600"/>
      <c r="D29" s="601"/>
      <c r="E29" s="1003"/>
      <c r="F29" s="982"/>
      <c r="G29" s="1010">
        <f t="shared" si="1"/>
        <v>0</v>
      </c>
      <c r="H29" s="979"/>
      <c r="I29" s="1011"/>
      <c r="J29" s="1012">
        <f t="shared" si="2"/>
        <v>0</v>
      </c>
      <c r="K29" s="982"/>
      <c r="L29" s="1013"/>
      <c r="M29" s="982"/>
      <c r="N29" s="982"/>
      <c r="O29" s="763"/>
      <c r="P29" s="763"/>
      <c r="Q29" s="1014"/>
      <c r="R29" s="797"/>
      <c r="S29" s="47"/>
      <c r="U29" s="732" t="str">
        <f t="shared" si="0"/>
        <v/>
      </c>
      <c r="V29" s="707"/>
      <c r="W29" s="707"/>
      <c r="X29" s="707"/>
      <c r="Y29" s="730"/>
      <c r="Z29" s="707"/>
      <c r="AA29" s="707"/>
      <c r="AB29" s="707"/>
      <c r="AC29" s="707"/>
      <c r="AD29" s="707"/>
      <c r="AE29" s="707"/>
      <c r="AF29" s="707"/>
      <c r="AG29" s="707"/>
      <c r="AH29" s="708"/>
    </row>
    <row r="30" spans="1:34" s="17" customFormat="1" ht="22.95" customHeight="1">
      <c r="B30" s="46"/>
      <c r="C30" s="600"/>
      <c r="D30" s="601"/>
      <c r="E30" s="1003"/>
      <c r="F30" s="982"/>
      <c r="G30" s="1010">
        <f t="shared" si="1"/>
        <v>0</v>
      </c>
      <c r="H30" s="979"/>
      <c r="I30" s="1011"/>
      <c r="J30" s="1012">
        <f t="shared" si="2"/>
        <v>0</v>
      </c>
      <c r="K30" s="982"/>
      <c r="L30" s="1013"/>
      <c r="M30" s="982"/>
      <c r="N30" s="982"/>
      <c r="O30" s="763"/>
      <c r="P30" s="763"/>
      <c r="Q30" s="1014"/>
      <c r="R30" s="797"/>
      <c r="S30" s="47"/>
      <c r="U30" s="732" t="str">
        <f t="shared" si="0"/>
        <v/>
      </c>
      <c r="V30" s="707"/>
      <c r="W30" s="707"/>
      <c r="X30" s="707"/>
      <c r="Y30" s="730"/>
      <c r="Z30" s="707"/>
      <c r="AA30" s="707"/>
      <c r="AB30" s="707"/>
      <c r="AC30" s="707"/>
      <c r="AD30" s="707"/>
      <c r="AE30" s="707"/>
      <c r="AF30" s="707"/>
      <c r="AG30" s="707"/>
      <c r="AH30" s="708"/>
    </row>
    <row r="31" spans="1:34" s="17" customFormat="1" ht="22.95" customHeight="1">
      <c r="B31" s="46"/>
      <c r="C31" s="600"/>
      <c r="D31" s="601"/>
      <c r="E31" s="1003"/>
      <c r="F31" s="982"/>
      <c r="G31" s="1010">
        <f t="shared" si="1"/>
        <v>0</v>
      </c>
      <c r="H31" s="979"/>
      <c r="I31" s="1011"/>
      <c r="J31" s="1012">
        <f t="shared" si="2"/>
        <v>0</v>
      </c>
      <c r="K31" s="982"/>
      <c r="L31" s="1013"/>
      <c r="M31" s="982"/>
      <c r="N31" s="982"/>
      <c r="O31" s="763"/>
      <c r="P31" s="763"/>
      <c r="Q31" s="1014"/>
      <c r="R31" s="797"/>
      <c r="S31" s="47"/>
      <c r="U31" s="732" t="str">
        <f t="shared" si="0"/>
        <v/>
      </c>
      <c r="V31" s="707"/>
      <c r="W31" s="707"/>
      <c r="X31" s="707"/>
      <c r="Y31" s="730"/>
      <c r="Z31" s="707"/>
      <c r="AA31" s="707"/>
      <c r="AB31" s="707"/>
      <c r="AC31" s="707"/>
      <c r="AD31" s="707"/>
      <c r="AE31" s="707"/>
      <c r="AF31" s="707"/>
      <c r="AG31" s="707"/>
      <c r="AH31" s="708"/>
    </row>
    <row r="32" spans="1:34" s="17" customFormat="1" ht="22.95" customHeight="1">
      <c r="B32" s="46"/>
      <c r="C32" s="600"/>
      <c r="D32" s="601"/>
      <c r="E32" s="1003"/>
      <c r="F32" s="982"/>
      <c r="G32" s="1010">
        <f t="shared" si="1"/>
        <v>0</v>
      </c>
      <c r="H32" s="979"/>
      <c r="I32" s="1011"/>
      <c r="J32" s="1012">
        <f t="shared" si="2"/>
        <v>0</v>
      </c>
      <c r="K32" s="982"/>
      <c r="L32" s="1013"/>
      <c r="M32" s="982"/>
      <c r="N32" s="982"/>
      <c r="O32" s="763"/>
      <c r="P32" s="763"/>
      <c r="Q32" s="1014"/>
      <c r="R32" s="797"/>
      <c r="S32" s="47"/>
      <c r="U32" s="732" t="str">
        <f t="shared" si="0"/>
        <v/>
      </c>
      <c r="V32" s="707"/>
      <c r="W32" s="707"/>
      <c r="X32" s="707"/>
      <c r="Y32" s="730"/>
      <c r="Z32" s="707"/>
      <c r="AA32" s="707"/>
      <c r="AB32" s="707"/>
      <c r="AC32" s="707"/>
      <c r="AD32" s="707"/>
      <c r="AE32" s="707"/>
      <c r="AF32" s="707"/>
      <c r="AG32" s="707"/>
      <c r="AH32" s="708"/>
    </row>
    <row r="33" spans="2:34" s="17" customFormat="1" ht="22.95" customHeight="1">
      <c r="B33" s="46"/>
      <c r="C33" s="600"/>
      <c r="D33" s="601"/>
      <c r="E33" s="1003"/>
      <c r="F33" s="982"/>
      <c r="G33" s="1010">
        <f t="shared" si="1"/>
        <v>0</v>
      </c>
      <c r="H33" s="979"/>
      <c r="I33" s="1011"/>
      <c r="J33" s="1012">
        <f t="shared" si="2"/>
        <v>0</v>
      </c>
      <c r="K33" s="982"/>
      <c r="L33" s="1013"/>
      <c r="M33" s="982"/>
      <c r="N33" s="982"/>
      <c r="O33" s="763"/>
      <c r="P33" s="763"/>
      <c r="Q33" s="1014"/>
      <c r="R33" s="797"/>
      <c r="S33" s="47"/>
      <c r="U33" s="732" t="str">
        <f t="shared" si="0"/>
        <v/>
      </c>
      <c r="V33" s="707"/>
      <c r="W33" s="707"/>
      <c r="X33" s="707"/>
      <c r="Y33" s="730"/>
      <c r="Z33" s="707"/>
      <c r="AA33" s="707"/>
      <c r="AB33" s="707"/>
      <c r="AC33" s="707"/>
      <c r="AD33" s="707"/>
      <c r="AE33" s="707"/>
      <c r="AF33" s="707"/>
      <c r="AG33" s="707"/>
      <c r="AH33" s="708"/>
    </row>
    <row r="34" spans="2:34" s="17" customFormat="1" ht="22.95" customHeight="1">
      <c r="B34" s="46"/>
      <c r="C34" s="600"/>
      <c r="D34" s="601"/>
      <c r="E34" s="1003"/>
      <c r="F34" s="982"/>
      <c r="G34" s="1010">
        <f t="shared" si="1"/>
        <v>0</v>
      </c>
      <c r="H34" s="979"/>
      <c r="I34" s="1011"/>
      <c r="J34" s="1012">
        <f t="shared" si="2"/>
        <v>0</v>
      </c>
      <c r="K34" s="982"/>
      <c r="L34" s="1013"/>
      <c r="M34" s="982"/>
      <c r="N34" s="982"/>
      <c r="O34" s="763"/>
      <c r="P34" s="763"/>
      <c r="Q34" s="1014"/>
      <c r="R34" s="797"/>
      <c r="S34" s="47"/>
      <c r="U34" s="732" t="str">
        <f t="shared" si="0"/>
        <v/>
      </c>
      <c r="V34" s="707"/>
      <c r="W34" s="707"/>
      <c r="X34" s="707"/>
      <c r="Y34" s="730"/>
      <c r="Z34" s="707"/>
      <c r="AA34" s="707"/>
      <c r="AB34" s="707"/>
      <c r="AC34" s="707"/>
      <c r="AD34" s="707"/>
      <c r="AE34" s="707"/>
      <c r="AF34" s="707"/>
      <c r="AG34" s="707"/>
      <c r="AH34" s="708"/>
    </row>
    <row r="35" spans="2:34" s="17" customFormat="1" ht="22.95" customHeight="1">
      <c r="B35" s="46"/>
      <c r="C35" s="600"/>
      <c r="D35" s="601"/>
      <c r="E35" s="1003"/>
      <c r="F35" s="982"/>
      <c r="G35" s="1010">
        <f t="shared" si="1"/>
        <v>0</v>
      </c>
      <c r="H35" s="979"/>
      <c r="I35" s="1011"/>
      <c r="J35" s="1012">
        <f t="shared" si="2"/>
        <v>0</v>
      </c>
      <c r="K35" s="982"/>
      <c r="L35" s="1013"/>
      <c r="M35" s="982"/>
      <c r="N35" s="982"/>
      <c r="O35" s="763"/>
      <c r="P35" s="763"/>
      <c r="Q35" s="1014"/>
      <c r="R35" s="797"/>
      <c r="S35" s="47"/>
      <c r="U35" s="732" t="str">
        <f t="shared" si="0"/>
        <v/>
      </c>
      <c r="V35" s="707"/>
      <c r="W35" s="707"/>
      <c r="X35" s="707"/>
      <c r="Y35" s="730"/>
      <c r="Z35" s="707"/>
      <c r="AA35" s="707"/>
      <c r="AB35" s="707"/>
      <c r="AC35" s="707"/>
      <c r="AD35" s="707"/>
      <c r="AE35" s="707"/>
      <c r="AF35" s="707"/>
      <c r="AG35" s="707"/>
      <c r="AH35" s="708"/>
    </row>
    <row r="36" spans="2:34" s="17" customFormat="1" ht="22.95" customHeight="1">
      <c r="B36" s="46"/>
      <c r="C36" s="600"/>
      <c r="D36" s="601"/>
      <c r="E36" s="1003"/>
      <c r="F36" s="982"/>
      <c r="G36" s="1010">
        <f t="shared" ref="G36:G39" si="3">H36+I36</f>
        <v>0</v>
      </c>
      <c r="H36" s="979"/>
      <c r="I36" s="1011"/>
      <c r="J36" s="1012">
        <f t="shared" ref="J36:J39" si="4">K36+L36</f>
        <v>0</v>
      </c>
      <c r="K36" s="982"/>
      <c r="L36" s="1013"/>
      <c r="M36" s="982"/>
      <c r="N36" s="982"/>
      <c r="O36" s="763"/>
      <c r="P36" s="763"/>
      <c r="Q36" s="1014"/>
      <c r="R36" s="797"/>
      <c r="S36" s="47"/>
      <c r="U36" s="732" t="str">
        <f t="shared" si="0"/>
        <v/>
      </c>
      <c r="V36" s="707"/>
      <c r="W36" s="707"/>
      <c r="X36" s="707"/>
      <c r="Y36" s="730"/>
      <c r="Z36" s="707"/>
      <c r="AA36" s="707"/>
      <c r="AB36" s="707"/>
      <c r="AC36" s="707"/>
      <c r="AD36" s="707"/>
      <c r="AE36" s="707"/>
      <c r="AF36" s="707"/>
      <c r="AG36" s="707"/>
      <c r="AH36" s="708"/>
    </row>
    <row r="37" spans="2:34" ht="22.95" customHeight="1">
      <c r="B37" s="46"/>
      <c r="C37" s="600"/>
      <c r="D37" s="601"/>
      <c r="E37" s="1003"/>
      <c r="F37" s="982"/>
      <c r="G37" s="1010">
        <f t="shared" si="3"/>
        <v>0</v>
      </c>
      <c r="H37" s="968"/>
      <c r="I37" s="1015"/>
      <c r="J37" s="1012">
        <f t="shared" si="4"/>
        <v>0</v>
      </c>
      <c r="K37" s="986"/>
      <c r="L37" s="1016"/>
      <c r="M37" s="986"/>
      <c r="N37" s="986"/>
      <c r="O37" s="764"/>
      <c r="P37" s="764"/>
      <c r="Q37" s="1017"/>
      <c r="R37" s="797"/>
      <c r="S37" s="38"/>
      <c r="U37" s="732" t="str">
        <f t="shared" si="0"/>
        <v/>
      </c>
      <c r="V37" s="707"/>
      <c r="W37" s="707"/>
      <c r="X37" s="707"/>
      <c r="Y37" s="730"/>
      <c r="Z37" s="707"/>
      <c r="AA37" s="707"/>
      <c r="AB37" s="707"/>
      <c r="AC37" s="707"/>
      <c r="AD37" s="707"/>
      <c r="AE37" s="707"/>
      <c r="AF37" s="707"/>
      <c r="AG37" s="707"/>
      <c r="AH37" s="708"/>
    </row>
    <row r="38" spans="2:34" ht="22.95" customHeight="1">
      <c r="B38" s="46"/>
      <c r="C38" s="600"/>
      <c r="D38" s="601"/>
      <c r="E38" s="1003"/>
      <c r="F38" s="982"/>
      <c r="G38" s="1010">
        <f t="shared" si="3"/>
        <v>0</v>
      </c>
      <c r="H38" s="968"/>
      <c r="I38" s="1015"/>
      <c r="J38" s="1012">
        <f t="shared" si="4"/>
        <v>0</v>
      </c>
      <c r="K38" s="986"/>
      <c r="L38" s="1016"/>
      <c r="M38" s="986"/>
      <c r="N38" s="986"/>
      <c r="O38" s="764"/>
      <c r="P38" s="764"/>
      <c r="Q38" s="1017"/>
      <c r="R38" s="797"/>
      <c r="S38" s="38"/>
      <c r="U38" s="732" t="str">
        <f t="shared" si="0"/>
        <v/>
      </c>
      <c r="V38" s="707"/>
      <c r="W38" s="707"/>
      <c r="X38" s="707"/>
      <c r="Y38" s="730"/>
      <c r="Z38" s="707"/>
      <c r="AA38" s="707"/>
      <c r="AB38" s="707"/>
      <c r="AC38" s="707"/>
      <c r="AD38" s="707"/>
      <c r="AE38" s="707"/>
      <c r="AF38" s="707"/>
      <c r="AG38" s="707"/>
      <c r="AH38" s="708"/>
    </row>
    <row r="39" spans="2:34" ht="22.95" customHeight="1">
      <c r="B39" s="46"/>
      <c r="C39" s="600"/>
      <c r="D39" s="601"/>
      <c r="E39" s="1003"/>
      <c r="F39" s="982"/>
      <c r="G39" s="1010">
        <f t="shared" si="3"/>
        <v>0</v>
      </c>
      <c r="H39" s="988"/>
      <c r="I39" s="1018"/>
      <c r="J39" s="1012">
        <f t="shared" si="4"/>
        <v>0</v>
      </c>
      <c r="K39" s="990"/>
      <c r="L39" s="1019"/>
      <c r="M39" s="990"/>
      <c r="N39" s="990"/>
      <c r="O39" s="990"/>
      <c r="P39" s="990"/>
      <c r="Q39" s="990"/>
      <c r="R39" s="797"/>
      <c r="S39" s="38"/>
      <c r="U39" s="732" t="str">
        <f t="shared" si="0"/>
        <v/>
      </c>
      <c r="V39" s="707"/>
      <c r="W39" s="707"/>
      <c r="X39" s="707"/>
      <c r="Y39" s="730"/>
      <c r="Z39" s="707"/>
      <c r="AA39" s="707"/>
      <c r="AB39" s="707"/>
      <c r="AC39" s="707"/>
      <c r="AD39" s="707"/>
      <c r="AE39" s="707"/>
      <c r="AF39" s="707"/>
      <c r="AG39" s="707"/>
      <c r="AH39" s="708"/>
    </row>
    <row r="40" spans="2:34" ht="22.95" customHeight="1" thickBot="1">
      <c r="B40" s="46"/>
      <c r="C40" s="603"/>
      <c r="D40" s="604"/>
      <c r="E40" s="1003"/>
      <c r="F40" s="982"/>
      <c r="G40" s="1021">
        <f>H40+I40</f>
        <v>0</v>
      </c>
      <c r="H40" s="970"/>
      <c r="I40" s="1022"/>
      <c r="J40" s="1023">
        <f>K40+L40</f>
        <v>0</v>
      </c>
      <c r="K40" s="996"/>
      <c r="L40" s="1024"/>
      <c r="M40" s="996"/>
      <c r="N40" s="996"/>
      <c r="O40" s="767"/>
      <c r="P40" s="767"/>
      <c r="Q40" s="768"/>
      <c r="R40" s="798"/>
      <c r="S40" s="38"/>
      <c r="U40" s="732" t="str">
        <f t="shared" si="0"/>
        <v/>
      </c>
      <c r="V40" s="707"/>
      <c r="W40" s="707"/>
      <c r="X40" s="707"/>
      <c r="Y40" s="730"/>
      <c r="Z40" s="707"/>
      <c r="AA40" s="707"/>
      <c r="AB40" s="707"/>
      <c r="AC40" s="707"/>
      <c r="AD40" s="707"/>
      <c r="AE40" s="707"/>
      <c r="AF40" s="707"/>
      <c r="AG40" s="707"/>
      <c r="AH40" s="708"/>
    </row>
    <row r="41" spans="2:34" ht="22.95" customHeight="1" thickBot="1">
      <c r="B41" s="46"/>
      <c r="C41" s="1234" t="s">
        <v>585</v>
      </c>
      <c r="D41" s="1235"/>
      <c r="E41" s="1235"/>
      <c r="F41" s="1236"/>
      <c r="G41" s="344">
        <f t="shared" ref="G41:N41" si="5">SUM(G21:G40)</f>
        <v>0</v>
      </c>
      <c r="H41" s="69">
        <f t="shared" si="5"/>
        <v>0</v>
      </c>
      <c r="I41" s="345">
        <f t="shared" si="5"/>
        <v>0</v>
      </c>
      <c r="J41" s="73">
        <f t="shared" si="5"/>
        <v>0</v>
      </c>
      <c r="K41" s="69">
        <f t="shared" si="5"/>
        <v>0</v>
      </c>
      <c r="L41" s="345">
        <f t="shared" si="5"/>
        <v>0</v>
      </c>
      <c r="M41" s="73">
        <f t="shared" si="5"/>
        <v>0</v>
      </c>
      <c r="N41" s="69">
        <f t="shared" si="5"/>
        <v>0</v>
      </c>
      <c r="S41" s="38"/>
      <c r="U41" s="706"/>
      <c r="V41" s="707"/>
      <c r="W41" s="707"/>
      <c r="X41" s="707"/>
      <c r="Y41" s="707"/>
      <c r="Z41" s="707"/>
      <c r="AA41" s="707"/>
      <c r="AB41" s="707"/>
      <c r="AC41" s="707"/>
      <c r="AD41" s="707"/>
      <c r="AE41" s="707"/>
      <c r="AF41" s="707"/>
      <c r="AG41" s="707"/>
      <c r="AH41" s="708"/>
    </row>
    <row r="42" spans="2:34" ht="7.95" customHeight="1">
      <c r="B42" s="37"/>
      <c r="C42" s="17"/>
      <c r="D42" s="17"/>
      <c r="E42" s="17"/>
      <c r="G42" s="17"/>
      <c r="H42" s="17"/>
      <c r="I42" s="17"/>
      <c r="J42" s="17"/>
      <c r="K42" s="17"/>
      <c r="L42" s="17"/>
      <c r="M42" s="1"/>
      <c r="N42" s="1"/>
      <c r="O42" s="1"/>
      <c r="P42" s="1"/>
      <c r="Q42" s="1"/>
      <c r="R42" s="1"/>
      <c r="S42" s="38"/>
      <c r="U42" s="706"/>
      <c r="V42" s="707"/>
      <c r="W42" s="707"/>
      <c r="X42" s="707"/>
      <c r="Y42" s="707"/>
      <c r="Z42" s="707"/>
      <c r="AA42" s="707"/>
      <c r="AB42" s="707"/>
      <c r="AC42" s="707"/>
      <c r="AD42" s="707"/>
      <c r="AE42" s="707"/>
      <c r="AF42" s="707"/>
      <c r="AG42" s="707"/>
      <c r="AH42" s="708"/>
    </row>
    <row r="43" spans="2:34" ht="22.95" customHeight="1" thickBot="1">
      <c r="B43" s="46"/>
      <c r="C43" s="1237" t="s">
        <v>586</v>
      </c>
      <c r="D43" s="1238"/>
      <c r="E43" s="1238"/>
      <c r="F43" s="1239"/>
      <c r="G43" s="327">
        <f>H43+I43</f>
        <v>-5966.4064899999994</v>
      </c>
      <c r="H43" s="1025">
        <v>-5000.53</v>
      </c>
      <c r="I43" s="1026">
        <v>-965.87648999999999</v>
      </c>
      <c r="J43" s="327">
        <f>+K43+L43</f>
        <v>-4199.4642000000003</v>
      </c>
      <c r="K43" s="1025">
        <v>-3233.5842000000002</v>
      </c>
      <c r="L43" s="1026">
        <v>-965.88</v>
      </c>
      <c r="M43" s="425"/>
      <c r="N43" s="425"/>
      <c r="O43" s="58"/>
      <c r="P43" s="58"/>
      <c r="Q43" s="58"/>
      <c r="R43" s="58"/>
      <c r="S43" s="38"/>
      <c r="U43" s="706"/>
      <c r="V43" s="707"/>
      <c r="W43" s="707"/>
      <c r="X43" s="707"/>
      <c r="Y43" s="707"/>
      <c r="Z43" s="707"/>
      <c r="AA43" s="707"/>
      <c r="AB43" s="707"/>
      <c r="AC43" s="707"/>
      <c r="AD43" s="707"/>
      <c r="AE43" s="707"/>
      <c r="AF43" s="707"/>
      <c r="AG43" s="707"/>
      <c r="AH43" s="708"/>
    </row>
    <row r="44" spans="2:34" ht="22.95" customHeight="1" thickBot="1">
      <c r="B44" s="46"/>
      <c r="C44" s="1234" t="s">
        <v>587</v>
      </c>
      <c r="D44" s="1235"/>
      <c r="E44" s="1235"/>
      <c r="F44" s="1236"/>
      <c r="G44" s="328">
        <f>H44+I44</f>
        <v>28233.663510000002</v>
      </c>
      <c r="H44" s="69">
        <f>+H19+H41+H43</f>
        <v>21739.920100000003</v>
      </c>
      <c r="I44" s="345">
        <f>+I19+I41+I43</f>
        <v>6493.7434099999982</v>
      </c>
      <c r="J44" s="329">
        <f>K44+L44</f>
        <v>24034.19931</v>
      </c>
      <c r="K44" s="69">
        <f>K19+K41+SUM(K43:K43)</f>
        <v>18506.335900000002</v>
      </c>
      <c r="L44" s="345">
        <f>L19+L41+SUM(L43:L43)</f>
        <v>5527.8634099999981</v>
      </c>
      <c r="M44" s="96"/>
      <c r="N44" s="96"/>
      <c r="O44" s="58"/>
      <c r="P44" s="58"/>
      <c r="Q44" s="58"/>
      <c r="R44" s="58"/>
      <c r="S44" s="38"/>
      <c r="U44" s="706"/>
      <c r="V44" s="707"/>
      <c r="W44" s="707"/>
      <c r="X44" s="707"/>
      <c r="Y44" s="707"/>
      <c r="Z44" s="707"/>
      <c r="AA44" s="707"/>
      <c r="AB44" s="707"/>
      <c r="AC44" s="707"/>
      <c r="AD44" s="707"/>
      <c r="AE44" s="707"/>
      <c r="AF44" s="707"/>
      <c r="AG44" s="707"/>
      <c r="AH44" s="708"/>
    </row>
    <row r="45" spans="2:34" ht="22.95" customHeight="1">
      <c r="B45" s="46"/>
      <c r="C45" s="57"/>
      <c r="D45" s="57"/>
      <c r="E45" s="58"/>
      <c r="F45" s="611" t="s">
        <v>588</v>
      </c>
      <c r="G45" s="96">
        <f>SUMIF($E$21:$E$40,"Cabildo Insular de Tenerife",G21:G40)</f>
        <v>0</v>
      </c>
      <c r="H45" s="96"/>
      <c r="I45" s="96"/>
      <c r="J45" s="96">
        <f>SUMIF($E$21:$E$40,"Cabildo Insular de Tenerife",J21:J40)</f>
        <v>0</v>
      </c>
      <c r="K45" s="96"/>
      <c r="L45" s="96"/>
      <c r="M45" s="96">
        <f>SUMIF($E$21:$E$40,"Cabildo Insular de Tenerife",M21:M40)</f>
        <v>0</v>
      </c>
      <c r="N45" s="96">
        <f>SUMIF($E$21:$E$40,"Cabildo Insular de Tenerife",N21:N40)</f>
        <v>0</v>
      </c>
      <c r="O45" s="58"/>
      <c r="P45" s="58"/>
      <c r="Q45" s="58"/>
      <c r="R45" s="58"/>
      <c r="S45" s="38"/>
      <c r="U45" s="706"/>
      <c r="V45" s="707"/>
      <c r="W45" s="707"/>
      <c r="X45" s="707"/>
      <c r="Y45" s="707"/>
      <c r="Z45" s="707"/>
      <c r="AA45" s="707"/>
      <c r="AB45" s="707"/>
      <c r="AC45" s="707"/>
      <c r="AD45" s="707"/>
      <c r="AE45" s="707"/>
      <c r="AF45" s="707"/>
      <c r="AG45" s="707"/>
      <c r="AH45" s="708"/>
    </row>
    <row r="46" spans="2:34" ht="22.95" customHeight="1">
      <c r="B46" s="46"/>
      <c r="C46" s="57"/>
      <c r="D46" s="57"/>
      <c r="E46" s="58"/>
      <c r="F46" s="611" t="s">
        <v>589</v>
      </c>
      <c r="G46" s="96">
        <f>SUMIF($E$21:$E$40,"Otros - Unidad dependiente del Cabildo",G21:G40)</f>
        <v>0</v>
      </c>
      <c r="H46" s="96"/>
      <c r="I46" s="96"/>
      <c r="J46" s="96">
        <f>SUMIF($E$21:$E$40,"Otros - Unidad dependiente del Cabildo",J21:J40)</f>
        <v>0</v>
      </c>
      <c r="K46" s="96"/>
      <c r="L46" s="96"/>
      <c r="M46" s="96">
        <f>SUMIF($E$21:$E$40,"Otros - Unidad dependiente del Cabildo",M21:M40)</f>
        <v>0</v>
      </c>
      <c r="N46" s="96">
        <f>SUMIF($E$21:$E$40,"Otros - Unidad dependiente del Cabildo",N21:N40)</f>
        <v>0</v>
      </c>
      <c r="O46" s="58"/>
      <c r="P46" s="58"/>
      <c r="Q46" s="58"/>
      <c r="R46" s="58"/>
      <c r="S46" s="38"/>
      <c r="U46" s="706"/>
      <c r="V46" s="707"/>
      <c r="W46" s="707"/>
      <c r="X46" s="707"/>
      <c r="Y46" s="707"/>
      <c r="Z46" s="707"/>
      <c r="AA46" s="707"/>
      <c r="AB46" s="707"/>
      <c r="AC46" s="707"/>
      <c r="AD46" s="707"/>
      <c r="AE46" s="707"/>
      <c r="AF46" s="707"/>
      <c r="AG46" s="707"/>
      <c r="AH46" s="708"/>
    </row>
    <row r="47" spans="2:34" ht="22.95" customHeight="1">
      <c r="B47" s="46"/>
      <c r="C47" s="57"/>
      <c r="D47" s="57"/>
      <c r="E47" s="58"/>
      <c r="F47" s="611" t="s">
        <v>590</v>
      </c>
      <c r="G47" s="96">
        <f>SUMIF($E$21:$E$40,"Otros - Unión Europea",G21:G40)</f>
        <v>0</v>
      </c>
      <c r="H47" s="96"/>
      <c r="I47" s="96"/>
      <c r="J47" s="96">
        <f>SUMIF($E$21:$E$40,"Otros - Unión Europea",J21:J40)</f>
        <v>0</v>
      </c>
      <c r="K47" s="96"/>
      <c r="L47" s="96"/>
      <c r="M47" s="96">
        <f>SUMIF($E$21:$E$40,"Otros - Unión Europea",M21:M40)</f>
        <v>0</v>
      </c>
      <c r="N47" s="96">
        <f>SUMIF($E$21:$E$40,"Otros - Unión Europea",N21:N40)</f>
        <v>0</v>
      </c>
      <c r="O47" s="58"/>
      <c r="P47" s="58"/>
      <c r="Q47" s="58"/>
      <c r="R47" s="58"/>
      <c r="S47" s="38"/>
      <c r="U47" s="706"/>
      <c r="V47" s="707"/>
      <c r="W47" s="707"/>
      <c r="X47" s="707"/>
      <c r="Y47" s="707"/>
      <c r="Z47" s="707"/>
      <c r="AA47" s="707"/>
      <c r="AB47" s="707"/>
      <c r="AC47" s="707"/>
      <c r="AD47" s="707"/>
      <c r="AE47" s="707"/>
      <c r="AF47" s="707"/>
      <c r="AG47" s="707"/>
      <c r="AH47" s="708"/>
    </row>
    <row r="48" spans="2:34" ht="22.95" customHeight="1">
      <c r="B48" s="46"/>
      <c r="C48" s="57"/>
      <c r="D48" s="57"/>
      <c r="E48" s="58"/>
      <c r="F48" s="611" t="s">
        <v>591</v>
      </c>
      <c r="G48" s="96">
        <f>SUMIF($E$21:$E$40,"Otros - De otras Administraciones y Entes públicos",G21:G40)</f>
        <v>0</v>
      </c>
      <c r="H48" s="96"/>
      <c r="I48" s="96"/>
      <c r="J48" s="96">
        <f>SUMIF($E$21:$E$40,"Otros - De otras Administraciones y Entes públicos",J21:J40)</f>
        <v>0</v>
      </c>
      <c r="K48" s="96"/>
      <c r="L48" s="96"/>
      <c r="M48" s="96">
        <f>SUMIF($E$21:$E$40,"Otros - De otras Administraciones y Entes públicos",M21:M40)</f>
        <v>0</v>
      </c>
      <c r="N48" s="96">
        <f>SUMIF($E$21:$E$40,"Otros - De otras Administraciones y Entes públicos",N21:N40)</f>
        <v>0</v>
      </c>
      <c r="O48" s="58"/>
      <c r="P48" s="58"/>
      <c r="Q48" s="58"/>
      <c r="R48" s="58"/>
      <c r="S48" s="38"/>
      <c r="U48" s="706"/>
      <c r="V48" s="707"/>
      <c r="W48" s="707"/>
      <c r="X48" s="707"/>
      <c r="Y48" s="707"/>
      <c r="Z48" s="707"/>
      <c r="AA48" s="707"/>
      <c r="AB48" s="707"/>
      <c r="AC48" s="707"/>
      <c r="AD48" s="707"/>
      <c r="AE48" s="707"/>
      <c r="AF48" s="707"/>
      <c r="AG48" s="707"/>
      <c r="AH48" s="708"/>
    </row>
    <row r="49" spans="2:34" ht="22.95" customHeight="1">
      <c r="B49" s="46"/>
      <c r="C49" s="57"/>
      <c r="D49" s="57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38"/>
      <c r="U49" s="706"/>
      <c r="V49" s="707"/>
      <c r="W49" s="707"/>
      <c r="X49" s="707"/>
      <c r="Y49" s="707"/>
      <c r="Z49" s="707"/>
      <c r="AA49" s="707"/>
      <c r="AB49" s="707"/>
      <c r="AC49" s="707"/>
      <c r="AD49" s="707"/>
      <c r="AE49" s="707"/>
      <c r="AF49" s="707"/>
      <c r="AG49" s="707"/>
      <c r="AH49" s="708"/>
    </row>
    <row r="50" spans="2:34" ht="22.95" customHeight="1">
      <c r="B50" s="46"/>
      <c r="C50" s="8" t="s">
        <v>592</v>
      </c>
      <c r="D50" s="57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38"/>
      <c r="U50" s="706"/>
      <c r="V50" s="707"/>
      <c r="W50" s="1243" t="s">
        <v>572</v>
      </c>
      <c r="X50" s="1243"/>
      <c r="Y50" s="707"/>
      <c r="Z50" s="707"/>
      <c r="AA50" s="707"/>
      <c r="AB50" s="707"/>
      <c r="AC50" s="707"/>
      <c r="AD50" s="707"/>
      <c r="AE50" s="707"/>
      <c r="AF50" s="707"/>
      <c r="AG50" s="707"/>
      <c r="AH50" s="708"/>
    </row>
    <row r="51" spans="2:34" ht="36" customHeight="1">
      <c r="B51" s="46"/>
      <c r="C51" s="1218" t="s">
        <v>573</v>
      </c>
      <c r="D51" s="1219"/>
      <c r="E51" s="1229" t="s">
        <v>569</v>
      </c>
      <c r="F51" s="1240"/>
      <c r="G51" s="1229" t="s">
        <v>593</v>
      </c>
      <c r="H51" s="1240"/>
      <c r="I51" s="1229" t="s">
        <v>594</v>
      </c>
      <c r="J51" s="1240"/>
      <c r="K51" s="300"/>
      <c r="L51" s="300"/>
      <c r="M51" s="300"/>
      <c r="N51" s="299" t="s">
        <v>577</v>
      </c>
      <c r="O51" s="58"/>
      <c r="P51" s="58"/>
      <c r="Q51" s="58"/>
      <c r="R51" s="58"/>
      <c r="S51" s="38"/>
      <c r="U51" s="706"/>
      <c r="V51" s="707"/>
      <c r="W51" s="1243"/>
      <c r="X51" s="1243"/>
      <c r="Y51" s="707"/>
      <c r="Z51" s="707"/>
      <c r="AA51" s="707"/>
      <c r="AB51" s="707"/>
      <c r="AC51" s="707"/>
      <c r="AD51" s="707"/>
      <c r="AE51" s="707"/>
      <c r="AF51" s="707"/>
      <c r="AG51" s="707"/>
      <c r="AH51" s="708"/>
    </row>
    <row r="52" spans="2:34" ht="22.95" customHeight="1">
      <c r="B52" s="46"/>
      <c r="C52" s="1230" t="s">
        <v>578</v>
      </c>
      <c r="D52" s="1231"/>
      <c r="E52" s="1241" t="s">
        <v>574</v>
      </c>
      <c r="F52" s="1242"/>
      <c r="G52" s="300">
        <f>ejercicio-1</f>
        <v>2024</v>
      </c>
      <c r="H52" s="300">
        <f>ejercicio</f>
        <v>2025</v>
      </c>
      <c r="I52" s="300">
        <f>ejercicio-1</f>
        <v>2024</v>
      </c>
      <c r="J52" s="300">
        <f>ejercicio</f>
        <v>2025</v>
      </c>
      <c r="K52" s="300" t="s">
        <v>581</v>
      </c>
      <c r="L52" s="300" t="s">
        <v>582</v>
      </c>
      <c r="M52" s="300" t="s">
        <v>583</v>
      </c>
      <c r="N52" s="302" t="s">
        <v>584</v>
      </c>
      <c r="O52" s="58"/>
      <c r="P52" s="58"/>
      <c r="Q52" s="58"/>
      <c r="R52" s="58"/>
      <c r="S52" s="38"/>
      <c r="U52" s="706"/>
      <c r="V52" s="707"/>
      <c r="W52" s="323">
        <f>ejercicio-1</f>
        <v>2024</v>
      </c>
      <c r="X52" s="300">
        <f>ejercicio</f>
        <v>2025</v>
      </c>
      <c r="Y52" s="707"/>
      <c r="Z52" s="707"/>
      <c r="AA52" s="707"/>
      <c r="AB52" s="707"/>
      <c r="AC52" s="707"/>
      <c r="AD52" s="707"/>
      <c r="AE52" s="707"/>
      <c r="AF52" s="707"/>
      <c r="AG52" s="707"/>
      <c r="AH52" s="708"/>
    </row>
    <row r="53" spans="2:34" s="620" customFormat="1" ht="22.95" customHeight="1">
      <c r="B53" s="618"/>
      <c r="C53" s="346" t="s">
        <v>595</v>
      </c>
      <c r="D53" s="934"/>
      <c r="E53" s="1003" t="s">
        <v>52</v>
      </c>
      <c r="F53" s="1004"/>
      <c r="G53" s="965">
        <v>145989.85999999999</v>
      </c>
      <c r="H53" s="935"/>
      <c r="I53" s="1004"/>
      <c r="J53" s="1004"/>
      <c r="K53" s="762">
        <v>612</v>
      </c>
      <c r="L53" s="762">
        <v>4141</v>
      </c>
      <c r="M53" s="1009">
        <v>48203</v>
      </c>
      <c r="N53" s="797">
        <v>2023</v>
      </c>
      <c r="O53" s="1027"/>
      <c r="P53" s="1027"/>
      <c r="Q53" s="1027"/>
      <c r="R53" s="1027"/>
      <c r="S53" s="619"/>
      <c r="U53" s="732" t="str">
        <f t="shared" ref="U53:U72" si="6">IF(AND((G53=I53),(H53=J53)),"","Explicar diferencia entre la aportación s/criterio Entidad y s/criterio Cabildo o AAPP")</f>
        <v>Explicar diferencia entre la aportación s/criterio Entidad y s/criterio Cabildo o AAPP</v>
      </c>
      <c r="V53" s="707"/>
      <c r="W53" s="707"/>
      <c r="X53" s="707"/>
      <c r="Y53" s="730"/>
      <c r="Z53" s="707"/>
      <c r="AA53" s="707"/>
      <c r="AB53" s="707"/>
      <c r="AC53" s="707"/>
      <c r="AD53" s="707"/>
      <c r="AE53" s="707"/>
      <c r="AF53" s="707"/>
      <c r="AG53" s="707"/>
      <c r="AH53" s="708"/>
    </row>
    <row r="54" spans="2:34" s="620" customFormat="1" ht="22.95" customHeight="1">
      <c r="B54" s="618"/>
      <c r="C54" s="1028" t="s">
        <v>596</v>
      </c>
      <c r="D54" s="1029"/>
      <c r="E54" s="1003" t="s">
        <v>52</v>
      </c>
      <c r="F54" s="982"/>
      <c r="G54" s="979">
        <v>15000</v>
      </c>
      <c r="H54" s="621">
        <v>180000</v>
      </c>
      <c r="I54" s="982">
        <v>195000</v>
      </c>
      <c r="J54" s="982"/>
      <c r="K54" s="763">
        <v>612</v>
      </c>
      <c r="L54" s="763">
        <v>4141</v>
      </c>
      <c r="M54" s="1014">
        <v>48203</v>
      </c>
      <c r="N54" s="797">
        <v>2024</v>
      </c>
      <c r="O54" s="1027"/>
      <c r="P54" s="1027"/>
      <c r="Q54" s="1027"/>
      <c r="R54" s="1027"/>
      <c r="S54" s="619"/>
      <c r="U54" s="732" t="str">
        <f t="shared" si="6"/>
        <v>Explicar diferencia entre la aportación s/criterio Entidad y s/criterio Cabildo o AAPP</v>
      </c>
      <c r="V54" s="707"/>
      <c r="W54" s="707"/>
      <c r="X54" s="707"/>
      <c r="Y54" s="730"/>
      <c r="Z54" s="707"/>
      <c r="AA54" s="707"/>
      <c r="AB54" s="707"/>
      <c r="AC54" s="707"/>
      <c r="AD54" s="707"/>
      <c r="AE54" s="707"/>
      <c r="AF54" s="707"/>
      <c r="AG54" s="707"/>
      <c r="AH54" s="708"/>
    </row>
    <row r="55" spans="2:34" s="620" customFormat="1" ht="22.95" customHeight="1">
      <c r="B55" s="618"/>
      <c r="C55" s="1028" t="s">
        <v>597</v>
      </c>
      <c r="D55" s="1029"/>
      <c r="E55" s="1003" t="s">
        <v>52</v>
      </c>
      <c r="F55" s="982"/>
      <c r="G55" s="979">
        <v>14000</v>
      </c>
      <c r="H55" s="621"/>
      <c r="I55" s="982">
        <v>14000</v>
      </c>
      <c r="J55" s="982"/>
      <c r="K55" s="763">
        <v>615</v>
      </c>
      <c r="L55" s="763">
        <v>4198</v>
      </c>
      <c r="M55" s="1014">
        <v>48203</v>
      </c>
      <c r="N55" s="797">
        <v>2024</v>
      </c>
      <c r="O55" s="1027"/>
      <c r="P55" s="1027"/>
      <c r="Q55" s="1027"/>
      <c r="R55" s="1027"/>
      <c r="S55" s="619"/>
      <c r="U55" s="732" t="str">
        <f t="shared" si="6"/>
        <v/>
      </c>
      <c r="V55" s="707"/>
      <c r="W55" s="707"/>
      <c r="X55" s="707"/>
      <c r="Y55" s="730"/>
      <c r="Z55" s="707"/>
      <c r="AA55" s="707"/>
      <c r="AB55" s="707"/>
      <c r="AC55" s="707"/>
      <c r="AD55" s="707"/>
      <c r="AE55" s="707"/>
      <c r="AF55" s="707"/>
      <c r="AG55" s="707"/>
      <c r="AH55" s="708"/>
    </row>
    <row r="56" spans="2:34" s="620" customFormat="1" ht="22.95" customHeight="1">
      <c r="B56" s="618"/>
      <c r="C56" s="1028" t="s">
        <v>598</v>
      </c>
      <c r="D56" s="1029"/>
      <c r="E56" s="1003" t="s">
        <v>52</v>
      </c>
      <c r="F56" s="982"/>
      <c r="G56" s="979"/>
      <c r="H56" s="621">
        <v>10000</v>
      </c>
      <c r="I56" s="982"/>
      <c r="J56" s="982">
        <v>170600</v>
      </c>
      <c r="K56" s="763">
        <v>612</v>
      </c>
      <c r="L56" s="763">
        <v>4141</v>
      </c>
      <c r="M56" s="1014">
        <v>48203</v>
      </c>
      <c r="N56" s="797">
        <v>2025</v>
      </c>
      <c r="O56" s="1027"/>
      <c r="P56" s="1027"/>
      <c r="Q56" s="1027"/>
      <c r="R56" s="1027"/>
      <c r="S56" s="619"/>
      <c r="U56" s="732" t="str">
        <f t="shared" si="6"/>
        <v>Explicar diferencia entre la aportación s/criterio Entidad y s/criterio Cabildo o AAPP</v>
      </c>
      <c r="V56" s="707"/>
      <c r="W56" s="707"/>
      <c r="X56" s="707"/>
      <c r="Y56" s="730"/>
      <c r="Z56" s="707"/>
      <c r="AA56" s="707"/>
      <c r="AB56" s="707"/>
      <c r="AC56" s="707"/>
      <c r="AD56" s="707"/>
      <c r="AE56" s="707"/>
      <c r="AF56" s="707"/>
      <c r="AG56" s="707"/>
      <c r="AH56" s="708"/>
    </row>
    <row r="57" spans="2:34" s="620" customFormat="1" ht="22.95" customHeight="1">
      <c r="B57" s="618"/>
      <c r="C57" s="1028" t="s">
        <v>599</v>
      </c>
      <c r="D57" s="1029"/>
      <c r="E57" s="1003" t="s">
        <v>52</v>
      </c>
      <c r="F57" s="982"/>
      <c r="G57" s="979"/>
      <c r="H57" s="621">
        <v>14000</v>
      </c>
      <c r="I57" s="982"/>
      <c r="J57" s="982">
        <v>14000</v>
      </c>
      <c r="K57" s="763">
        <v>615</v>
      </c>
      <c r="L57" s="763">
        <v>4198</v>
      </c>
      <c r="M57" s="1014">
        <v>48203</v>
      </c>
      <c r="N57" s="797">
        <v>2025</v>
      </c>
      <c r="O57" s="1027"/>
      <c r="P57" s="1027"/>
      <c r="Q57" s="1027"/>
      <c r="R57" s="1027"/>
      <c r="S57" s="619"/>
      <c r="U57" s="732" t="str">
        <f t="shared" si="6"/>
        <v/>
      </c>
      <c r="V57" s="707"/>
      <c r="W57" s="707"/>
      <c r="X57" s="707"/>
      <c r="Y57" s="730"/>
      <c r="Z57" s="707"/>
      <c r="AA57" s="707"/>
      <c r="AB57" s="707"/>
      <c r="AC57" s="707"/>
      <c r="AD57" s="707"/>
      <c r="AE57" s="707"/>
      <c r="AF57" s="707"/>
      <c r="AG57" s="707"/>
      <c r="AH57" s="708"/>
    </row>
    <row r="58" spans="2:34" s="620" customFormat="1" ht="22.95" customHeight="1">
      <c r="B58" s="618"/>
      <c r="C58" s="1028" t="s">
        <v>600</v>
      </c>
      <c r="D58" s="1029"/>
      <c r="E58" s="1003" t="s">
        <v>601</v>
      </c>
      <c r="F58" s="982"/>
      <c r="G58" s="979">
        <v>325</v>
      </c>
      <c r="H58" s="621"/>
      <c r="I58" s="982">
        <v>325</v>
      </c>
      <c r="J58" s="982"/>
      <c r="K58" s="763"/>
      <c r="L58" s="763"/>
      <c r="M58" s="1014"/>
      <c r="N58" s="797"/>
      <c r="O58" s="1027"/>
      <c r="P58" s="1027"/>
      <c r="Q58" s="1027"/>
      <c r="R58" s="1027"/>
      <c r="S58" s="619"/>
      <c r="U58" s="732" t="str">
        <f t="shared" si="6"/>
        <v/>
      </c>
      <c r="V58" s="707"/>
      <c r="W58" s="707"/>
      <c r="X58" s="707"/>
      <c r="Y58" s="730"/>
      <c r="Z58" s="707"/>
      <c r="AA58" s="707"/>
      <c r="AB58" s="707"/>
      <c r="AC58" s="707"/>
      <c r="AD58" s="707"/>
      <c r="AE58" s="707"/>
      <c r="AF58" s="707"/>
      <c r="AG58" s="707"/>
      <c r="AH58" s="708"/>
    </row>
    <row r="59" spans="2:34" s="620" customFormat="1" ht="22.95" customHeight="1">
      <c r="B59" s="618"/>
      <c r="C59" s="1028" t="s">
        <v>602</v>
      </c>
      <c r="D59" s="1029"/>
      <c r="E59" s="1003" t="s">
        <v>52</v>
      </c>
      <c r="F59" s="982"/>
      <c r="G59" s="979"/>
      <c r="H59" s="621">
        <v>157534.32999999999</v>
      </c>
      <c r="I59" s="982">
        <v>157534.32999999999</v>
      </c>
      <c r="J59" s="982"/>
      <c r="K59" s="763">
        <v>1001</v>
      </c>
      <c r="L59" s="763">
        <v>2412</v>
      </c>
      <c r="M59" s="1014">
        <v>48204</v>
      </c>
      <c r="N59" s="797">
        <v>2024</v>
      </c>
      <c r="O59" s="1027"/>
      <c r="P59" s="1027"/>
      <c r="Q59" s="1027"/>
      <c r="R59" s="1027"/>
      <c r="S59" s="619"/>
      <c r="U59" s="732" t="str">
        <f t="shared" si="6"/>
        <v>Explicar diferencia entre la aportación s/criterio Entidad y s/criterio Cabildo o AAPP</v>
      </c>
      <c r="V59" s="707"/>
      <c r="W59" s="707"/>
      <c r="X59" s="707"/>
      <c r="Y59" s="730"/>
      <c r="Z59" s="707"/>
      <c r="AA59" s="707"/>
      <c r="AB59" s="707"/>
      <c r="AC59" s="707"/>
      <c r="AD59" s="707"/>
      <c r="AE59" s="707"/>
      <c r="AF59" s="707"/>
      <c r="AG59" s="707"/>
      <c r="AH59" s="708"/>
    </row>
    <row r="60" spans="2:34" s="620" customFormat="1" ht="22.95" customHeight="1">
      <c r="B60" s="618"/>
      <c r="C60" s="1028"/>
      <c r="D60" s="1029"/>
      <c r="E60" s="1003"/>
      <c r="F60" s="982"/>
      <c r="G60" s="979"/>
      <c r="H60" s="621"/>
      <c r="I60" s="982"/>
      <c r="J60" s="982"/>
      <c r="K60" s="763"/>
      <c r="L60" s="763"/>
      <c r="M60" s="1014"/>
      <c r="N60" s="797"/>
      <c r="O60" s="1027"/>
      <c r="P60" s="1027"/>
      <c r="Q60" s="1027"/>
      <c r="R60" s="1027"/>
      <c r="S60" s="619"/>
      <c r="U60" s="732" t="str">
        <f t="shared" si="6"/>
        <v/>
      </c>
      <c r="V60" s="707"/>
      <c r="W60" s="707"/>
      <c r="X60" s="707"/>
      <c r="Y60" s="730"/>
      <c r="Z60" s="707"/>
      <c r="AA60" s="707"/>
      <c r="AB60" s="707"/>
      <c r="AC60" s="707"/>
      <c r="AD60" s="707"/>
      <c r="AE60" s="707"/>
      <c r="AF60" s="707"/>
      <c r="AG60" s="707"/>
      <c r="AH60" s="708"/>
    </row>
    <row r="61" spans="2:34" s="620" customFormat="1" ht="22.95" customHeight="1">
      <c r="B61" s="618"/>
      <c r="C61" s="1028"/>
      <c r="D61" s="1029"/>
      <c r="E61" s="1003"/>
      <c r="F61" s="982"/>
      <c r="G61" s="979"/>
      <c r="H61" s="621"/>
      <c r="I61" s="982"/>
      <c r="J61" s="982"/>
      <c r="K61" s="763"/>
      <c r="L61" s="763"/>
      <c r="M61" s="1014"/>
      <c r="N61" s="797"/>
      <c r="O61" s="1027"/>
      <c r="P61" s="1027"/>
      <c r="Q61" s="1027"/>
      <c r="R61" s="1027"/>
      <c r="S61" s="619"/>
      <c r="U61" s="732" t="str">
        <f t="shared" si="6"/>
        <v/>
      </c>
      <c r="V61" s="707"/>
      <c r="W61" s="707"/>
      <c r="X61" s="707"/>
      <c r="Y61" s="730"/>
      <c r="Z61" s="707"/>
      <c r="AA61" s="707"/>
      <c r="AB61" s="707"/>
      <c r="AC61" s="707"/>
      <c r="AD61" s="707"/>
      <c r="AE61" s="707"/>
      <c r="AF61" s="707"/>
      <c r="AG61" s="707"/>
      <c r="AH61" s="708"/>
    </row>
    <row r="62" spans="2:34" s="620" customFormat="1" ht="22.95" customHeight="1">
      <c r="B62" s="618"/>
      <c r="C62" s="1028"/>
      <c r="D62" s="1029"/>
      <c r="E62" s="1003"/>
      <c r="F62" s="982"/>
      <c r="G62" s="979"/>
      <c r="H62" s="621"/>
      <c r="I62" s="982"/>
      <c r="J62" s="982"/>
      <c r="K62" s="763"/>
      <c r="L62" s="763"/>
      <c r="M62" s="1014"/>
      <c r="N62" s="797"/>
      <c r="O62" s="1027"/>
      <c r="P62" s="1027"/>
      <c r="Q62" s="1027"/>
      <c r="R62" s="1027"/>
      <c r="S62" s="619"/>
      <c r="U62" s="732" t="str">
        <f t="shared" si="6"/>
        <v/>
      </c>
      <c r="V62" s="707"/>
      <c r="W62" s="707"/>
      <c r="X62" s="707"/>
      <c r="Y62" s="730"/>
      <c r="Z62" s="707"/>
      <c r="AA62" s="707"/>
      <c r="AB62" s="707"/>
      <c r="AC62" s="707"/>
      <c r="AD62" s="707"/>
      <c r="AE62" s="707"/>
      <c r="AF62" s="707"/>
      <c r="AG62" s="707"/>
      <c r="AH62" s="708"/>
    </row>
    <row r="63" spans="2:34" s="620" customFormat="1" ht="22.95" customHeight="1">
      <c r="B63" s="618"/>
      <c r="C63" s="1028"/>
      <c r="D63" s="1029"/>
      <c r="E63" s="1003"/>
      <c r="F63" s="982"/>
      <c r="G63" s="979"/>
      <c r="H63" s="621"/>
      <c r="I63" s="982"/>
      <c r="J63" s="982"/>
      <c r="K63" s="763"/>
      <c r="L63" s="763"/>
      <c r="M63" s="1014"/>
      <c r="N63" s="797"/>
      <c r="O63" s="1027"/>
      <c r="P63" s="1027"/>
      <c r="Q63" s="1027"/>
      <c r="R63" s="1027"/>
      <c r="S63" s="619"/>
      <c r="U63" s="732" t="str">
        <f t="shared" si="6"/>
        <v/>
      </c>
      <c r="V63" s="707"/>
      <c r="W63" s="707"/>
      <c r="X63" s="707"/>
      <c r="Y63" s="730"/>
      <c r="Z63" s="707"/>
      <c r="AA63" s="707"/>
      <c r="AB63" s="707"/>
      <c r="AC63" s="707"/>
      <c r="AD63" s="707"/>
      <c r="AE63" s="707"/>
      <c r="AF63" s="707"/>
      <c r="AG63" s="707"/>
      <c r="AH63" s="708"/>
    </row>
    <row r="64" spans="2:34" s="620" customFormat="1" ht="22.95" customHeight="1">
      <c r="B64" s="618"/>
      <c r="C64" s="1028"/>
      <c r="D64" s="1029"/>
      <c r="E64" s="1003"/>
      <c r="F64" s="982"/>
      <c r="G64" s="979"/>
      <c r="H64" s="621"/>
      <c r="I64" s="982"/>
      <c r="J64" s="982"/>
      <c r="K64" s="763"/>
      <c r="L64" s="763"/>
      <c r="M64" s="1014"/>
      <c r="N64" s="797"/>
      <c r="O64" s="1027"/>
      <c r="P64" s="1027"/>
      <c r="Q64" s="1027"/>
      <c r="R64" s="1027"/>
      <c r="S64" s="619"/>
      <c r="U64" s="732" t="str">
        <f t="shared" si="6"/>
        <v/>
      </c>
      <c r="V64" s="707"/>
      <c r="W64" s="707"/>
      <c r="X64" s="707"/>
      <c r="Y64" s="730"/>
      <c r="Z64" s="707"/>
      <c r="AA64" s="707"/>
      <c r="AB64" s="707"/>
      <c r="AC64" s="707"/>
      <c r="AD64" s="707"/>
      <c r="AE64" s="707"/>
      <c r="AF64" s="707"/>
      <c r="AG64" s="707"/>
      <c r="AH64" s="708"/>
    </row>
    <row r="65" spans="2:34" s="620" customFormat="1" ht="22.95" customHeight="1">
      <c r="B65" s="618"/>
      <c r="C65" s="1028"/>
      <c r="D65" s="1029"/>
      <c r="E65" s="1003"/>
      <c r="F65" s="982"/>
      <c r="G65" s="979"/>
      <c r="H65" s="621"/>
      <c r="I65" s="982"/>
      <c r="J65" s="982"/>
      <c r="K65" s="763"/>
      <c r="L65" s="763"/>
      <c r="M65" s="1014"/>
      <c r="N65" s="797"/>
      <c r="O65" s="1027"/>
      <c r="P65" s="1027"/>
      <c r="Q65" s="1027"/>
      <c r="R65" s="1027"/>
      <c r="S65" s="619"/>
      <c r="U65" s="732" t="str">
        <f t="shared" si="6"/>
        <v/>
      </c>
      <c r="V65" s="707"/>
      <c r="W65" s="707"/>
      <c r="X65" s="707"/>
      <c r="Y65" s="730"/>
      <c r="Z65" s="707"/>
      <c r="AA65" s="707"/>
      <c r="AB65" s="707"/>
      <c r="AC65" s="707"/>
      <c r="AD65" s="707"/>
      <c r="AE65" s="707"/>
      <c r="AF65" s="707"/>
      <c r="AG65" s="707"/>
      <c r="AH65" s="708"/>
    </row>
    <row r="66" spans="2:34" s="620" customFormat="1" ht="22.95" customHeight="1">
      <c r="B66" s="618"/>
      <c r="C66" s="1028"/>
      <c r="D66" s="1029"/>
      <c r="E66" s="1003"/>
      <c r="F66" s="982"/>
      <c r="G66" s="979"/>
      <c r="H66" s="621"/>
      <c r="I66" s="982"/>
      <c r="J66" s="982"/>
      <c r="K66" s="763"/>
      <c r="L66" s="763"/>
      <c r="M66" s="1014"/>
      <c r="N66" s="797"/>
      <c r="O66" s="1027"/>
      <c r="P66" s="1027"/>
      <c r="Q66" s="1027"/>
      <c r="R66" s="1027"/>
      <c r="S66" s="619"/>
      <c r="U66" s="732" t="str">
        <f t="shared" si="6"/>
        <v/>
      </c>
      <c r="V66" s="707"/>
      <c r="W66" s="707"/>
      <c r="X66" s="707"/>
      <c r="Y66" s="730"/>
      <c r="Z66" s="707"/>
      <c r="AA66" s="707"/>
      <c r="AB66" s="707"/>
      <c r="AC66" s="707"/>
      <c r="AD66" s="707"/>
      <c r="AE66" s="707"/>
      <c r="AF66" s="707"/>
      <c r="AG66" s="707"/>
      <c r="AH66" s="708"/>
    </row>
    <row r="67" spans="2:34" s="620" customFormat="1" ht="22.95" customHeight="1">
      <c r="B67" s="618"/>
      <c r="C67" s="1028"/>
      <c r="D67" s="1029"/>
      <c r="E67" s="1003"/>
      <c r="F67" s="982"/>
      <c r="G67" s="979"/>
      <c r="H67" s="621"/>
      <c r="I67" s="982"/>
      <c r="J67" s="982"/>
      <c r="K67" s="763"/>
      <c r="L67" s="763"/>
      <c r="M67" s="1014"/>
      <c r="N67" s="797"/>
      <c r="O67" s="1027"/>
      <c r="P67" s="1027"/>
      <c r="Q67" s="1027"/>
      <c r="R67" s="1027"/>
      <c r="S67" s="619"/>
      <c r="U67" s="732" t="str">
        <f t="shared" si="6"/>
        <v/>
      </c>
      <c r="V67" s="707"/>
      <c r="W67" s="707"/>
      <c r="X67" s="707"/>
      <c r="Y67" s="730"/>
      <c r="Z67" s="707"/>
      <c r="AA67" s="707"/>
      <c r="AB67" s="707"/>
      <c r="AC67" s="707"/>
      <c r="AD67" s="707"/>
      <c r="AE67" s="707"/>
      <c r="AF67" s="707"/>
      <c r="AG67" s="707"/>
      <c r="AH67" s="708"/>
    </row>
    <row r="68" spans="2:34" s="620" customFormat="1" ht="22.95" customHeight="1">
      <c r="B68" s="618"/>
      <c r="C68" s="1028"/>
      <c r="D68" s="1029"/>
      <c r="E68" s="1003"/>
      <c r="F68" s="982"/>
      <c r="G68" s="979"/>
      <c r="H68" s="621"/>
      <c r="I68" s="982"/>
      <c r="J68" s="982"/>
      <c r="K68" s="763"/>
      <c r="L68" s="763"/>
      <c r="M68" s="1014"/>
      <c r="N68" s="797"/>
      <c r="O68" s="1027"/>
      <c r="P68" s="1027"/>
      <c r="Q68" s="1027"/>
      <c r="R68" s="1027"/>
      <c r="S68" s="619"/>
      <c r="U68" s="732" t="str">
        <f t="shared" si="6"/>
        <v/>
      </c>
      <c r="V68" s="707"/>
      <c r="W68" s="707"/>
      <c r="X68" s="707"/>
      <c r="Y68" s="730"/>
      <c r="Z68" s="707"/>
      <c r="AA68" s="707"/>
      <c r="AB68" s="707"/>
      <c r="AC68" s="707"/>
      <c r="AD68" s="707"/>
      <c r="AE68" s="707"/>
      <c r="AF68" s="707"/>
      <c r="AG68" s="707"/>
      <c r="AH68" s="708"/>
    </row>
    <row r="69" spans="2:34" s="620" customFormat="1" ht="22.95" customHeight="1">
      <c r="B69" s="618"/>
      <c r="C69" s="1028"/>
      <c r="D69" s="1029"/>
      <c r="E69" s="1003"/>
      <c r="F69" s="982"/>
      <c r="G69" s="979"/>
      <c r="H69" s="621"/>
      <c r="I69" s="982"/>
      <c r="J69" s="982"/>
      <c r="K69" s="763"/>
      <c r="L69" s="763"/>
      <c r="M69" s="1014"/>
      <c r="N69" s="797"/>
      <c r="O69" s="1027"/>
      <c r="P69" s="1027"/>
      <c r="Q69" s="1027"/>
      <c r="R69" s="1027"/>
      <c r="S69" s="619"/>
      <c r="U69" s="732" t="str">
        <f t="shared" si="6"/>
        <v/>
      </c>
      <c r="V69" s="707"/>
      <c r="W69" s="707"/>
      <c r="X69" s="707"/>
      <c r="Y69" s="730"/>
      <c r="Z69" s="707"/>
      <c r="AA69" s="707"/>
      <c r="AB69" s="707"/>
      <c r="AC69" s="707"/>
      <c r="AD69" s="707"/>
      <c r="AE69" s="707"/>
      <c r="AF69" s="707"/>
      <c r="AG69" s="707"/>
      <c r="AH69" s="708"/>
    </row>
    <row r="70" spans="2:34" s="620" customFormat="1" ht="22.95" customHeight="1">
      <c r="B70" s="618"/>
      <c r="C70" s="1028"/>
      <c r="D70" s="1029"/>
      <c r="E70" s="1003"/>
      <c r="F70" s="982"/>
      <c r="G70" s="979"/>
      <c r="H70" s="621"/>
      <c r="I70" s="982"/>
      <c r="J70" s="982"/>
      <c r="K70" s="763"/>
      <c r="L70" s="763"/>
      <c r="M70" s="1014"/>
      <c r="N70" s="797"/>
      <c r="O70" s="1027"/>
      <c r="P70" s="1027"/>
      <c r="Q70" s="1027"/>
      <c r="R70" s="1027"/>
      <c r="S70" s="619"/>
      <c r="U70" s="732" t="str">
        <f t="shared" si="6"/>
        <v/>
      </c>
      <c r="V70" s="707"/>
      <c r="W70" s="707"/>
      <c r="X70" s="707"/>
      <c r="Y70" s="730"/>
      <c r="Z70" s="707"/>
      <c r="AA70" s="707"/>
      <c r="AB70" s="707"/>
      <c r="AC70" s="707"/>
      <c r="AD70" s="707"/>
      <c r="AE70" s="707"/>
      <c r="AF70" s="707"/>
      <c r="AG70" s="707"/>
      <c r="AH70" s="708"/>
    </row>
    <row r="71" spans="2:34" s="620" customFormat="1" ht="22.95" customHeight="1">
      <c r="B71" s="618"/>
      <c r="C71" s="1028"/>
      <c r="D71" s="1029"/>
      <c r="E71" s="1003"/>
      <c r="F71" s="982"/>
      <c r="G71" s="979"/>
      <c r="H71" s="621"/>
      <c r="I71" s="982"/>
      <c r="J71" s="982"/>
      <c r="K71" s="763"/>
      <c r="L71" s="763"/>
      <c r="M71" s="1014"/>
      <c r="N71" s="797"/>
      <c r="O71" s="1027"/>
      <c r="P71" s="1027"/>
      <c r="Q71" s="1027"/>
      <c r="R71" s="1027"/>
      <c r="S71" s="619"/>
      <c r="U71" s="732" t="str">
        <f t="shared" si="6"/>
        <v/>
      </c>
      <c r="V71" s="707"/>
      <c r="W71" s="707"/>
      <c r="X71" s="707"/>
      <c r="Y71" s="730"/>
      <c r="Z71" s="707"/>
      <c r="AA71" s="707"/>
      <c r="AB71" s="707"/>
      <c r="AC71" s="707"/>
      <c r="AD71" s="707"/>
      <c r="AE71" s="707"/>
      <c r="AF71" s="707"/>
      <c r="AG71" s="707"/>
      <c r="AH71" s="708"/>
    </row>
    <row r="72" spans="2:34" s="620" customFormat="1" ht="22.95" customHeight="1">
      <c r="B72" s="618"/>
      <c r="C72" s="600"/>
      <c r="D72" s="601"/>
      <c r="E72" s="1003"/>
      <c r="F72" s="986"/>
      <c r="G72" s="988"/>
      <c r="H72" s="666"/>
      <c r="I72" s="990"/>
      <c r="J72" s="990"/>
      <c r="K72" s="766"/>
      <c r="L72" s="766"/>
      <c r="M72" s="1030"/>
      <c r="N72" s="799"/>
      <c r="O72" s="1027"/>
      <c r="P72" s="1027"/>
      <c r="Q72" s="1027"/>
      <c r="R72" s="1027"/>
      <c r="S72" s="619"/>
      <c r="U72" s="732" t="str">
        <f t="shared" si="6"/>
        <v/>
      </c>
      <c r="V72" s="707"/>
      <c r="W72" s="707"/>
      <c r="X72" s="707"/>
      <c r="Y72" s="730"/>
      <c r="Z72" s="707"/>
      <c r="AA72" s="707"/>
      <c r="AB72" s="707"/>
      <c r="AC72" s="707"/>
      <c r="AD72" s="707"/>
      <c r="AE72" s="707"/>
      <c r="AF72" s="707"/>
      <c r="AG72" s="707"/>
      <c r="AH72" s="708"/>
    </row>
    <row r="73" spans="2:34" ht="22.95" customHeight="1" thickBot="1">
      <c r="B73" s="46"/>
      <c r="C73" s="1234" t="s">
        <v>585</v>
      </c>
      <c r="D73" s="1235"/>
      <c r="E73" s="1235"/>
      <c r="F73" s="1236"/>
      <c r="G73" s="69">
        <f>SUM(G53:G72)</f>
        <v>175314.86</v>
      </c>
      <c r="H73" s="69">
        <f>SUM(H53:H72)</f>
        <v>361534.32999999996</v>
      </c>
      <c r="I73" s="69">
        <f>SUM(I53:I72)</f>
        <v>366859.32999999996</v>
      </c>
      <c r="J73" s="69">
        <f>SUM(J53:J72)</f>
        <v>184600</v>
      </c>
      <c r="K73" s="94"/>
      <c r="L73" s="58"/>
      <c r="M73" s="58"/>
      <c r="O73" s="58"/>
      <c r="P73" s="58"/>
      <c r="Q73" s="58"/>
      <c r="R73" s="58"/>
      <c r="S73" s="38"/>
      <c r="U73" s="706"/>
      <c r="V73" s="707"/>
      <c r="W73" s="707"/>
      <c r="X73" s="707"/>
      <c r="Y73" s="730"/>
      <c r="Z73" s="707"/>
      <c r="AA73" s="707"/>
      <c r="AB73" s="707"/>
      <c r="AC73" s="707"/>
      <c r="AD73" s="707"/>
      <c r="AE73" s="707"/>
      <c r="AF73" s="707"/>
      <c r="AG73" s="707"/>
      <c r="AH73" s="708"/>
    </row>
    <row r="74" spans="2:34" ht="22.95" customHeight="1">
      <c r="B74" s="46"/>
      <c r="C74" s="599"/>
      <c r="D74" s="599"/>
      <c r="E74" s="96"/>
      <c r="F74" s="611" t="s">
        <v>603</v>
      </c>
      <c r="G74" s="96">
        <f>SUMIF(E53:E72,"Cabildo Insular de Tenerife",G53:G72)</f>
        <v>174989.86</v>
      </c>
      <c r="H74" s="96">
        <f>SUMIF(E53:E72,"Cabildo Insular de Tenerife",H53:H72)</f>
        <v>361534.32999999996</v>
      </c>
      <c r="I74" s="96">
        <f>SUMIF(E53:E72,"Cabildo Insular de Tenerife",I53:I72)</f>
        <v>366534.32999999996</v>
      </c>
      <c r="J74" s="96">
        <f>SUMIF(E53:E72,"Cabildo Insular de Tenerife",J53:J72)</f>
        <v>184600</v>
      </c>
      <c r="K74" s="96"/>
      <c r="L74" s="96"/>
      <c r="M74" s="359"/>
      <c r="O74" s="359"/>
      <c r="P74" s="359"/>
      <c r="Q74" s="359"/>
      <c r="R74" s="359"/>
      <c r="S74" s="38"/>
      <c r="U74" s="706"/>
      <c r="V74" s="707"/>
      <c r="W74" s="707"/>
      <c r="X74" s="707"/>
      <c r="Y74" s="730"/>
      <c r="Z74" s="707"/>
      <c r="AA74" s="707"/>
      <c r="AB74" s="707"/>
      <c r="AC74" s="707"/>
      <c r="AD74" s="707"/>
      <c r="AE74" s="707"/>
      <c r="AF74" s="707"/>
      <c r="AG74" s="707"/>
      <c r="AH74" s="708"/>
    </row>
    <row r="75" spans="2:34" ht="22.95" customHeight="1">
      <c r="B75" s="46"/>
      <c r="C75" s="599"/>
      <c r="D75" s="599"/>
      <c r="E75" s="96"/>
      <c r="F75" s="611" t="s">
        <v>604</v>
      </c>
      <c r="G75" s="96">
        <f>SUMIF($E$53:$E$72,"Otros - Unidad dependiente del Cabildo",$G$53:$G$72)</f>
        <v>0</v>
      </c>
      <c r="H75" s="96">
        <f>SUMIF($E$53:$E$72,"Otros - Unidad dependiente del Cabildo",$H$53:$H$72)</f>
        <v>0</v>
      </c>
      <c r="I75" s="96">
        <f>SUMIF($E$53:$E$72,"Otros - Unidad dependiente del Cabildo",$I$53:$I$72)</f>
        <v>0</v>
      </c>
      <c r="J75" s="96">
        <f>SUMIF($E$53:$E$72,"Otros - Unidad dependiente del Cabildo",$J$53:$J$72)</f>
        <v>0</v>
      </c>
      <c r="K75" s="96"/>
      <c r="L75" s="96"/>
      <c r="M75" s="359"/>
      <c r="O75" s="359"/>
      <c r="P75" s="359"/>
      <c r="Q75" s="359"/>
      <c r="R75" s="359"/>
      <c r="S75" s="38"/>
      <c r="U75" s="706"/>
      <c r="V75" s="707"/>
      <c r="W75" s="707"/>
      <c r="X75" s="707"/>
      <c r="Y75" s="730"/>
      <c r="Z75" s="707"/>
      <c r="AA75" s="707"/>
      <c r="AB75" s="707"/>
      <c r="AC75" s="707"/>
      <c r="AD75" s="707"/>
      <c r="AE75" s="707"/>
      <c r="AF75" s="707"/>
      <c r="AG75" s="707"/>
      <c r="AH75" s="708"/>
    </row>
    <row r="76" spans="2:34" ht="22.95" customHeight="1">
      <c r="B76" s="46"/>
      <c r="C76" s="599"/>
      <c r="D76" s="599"/>
      <c r="E76" s="96"/>
      <c r="F76" s="611" t="s">
        <v>605</v>
      </c>
      <c r="G76" s="96">
        <f>SUMIF($E$53:$E$72,"Otros - Unión Europea",$G$53:$G$72)</f>
        <v>0</v>
      </c>
      <c r="H76" s="96">
        <f>SUMIF($E$53:$E$72,"Otros - Unión Europea",$H$53:$H$72)</f>
        <v>0</v>
      </c>
      <c r="I76" s="96">
        <f>SUMIF($E$53:$E$72,"Otros - Unión Europea",$I$53:$I$72)</f>
        <v>0</v>
      </c>
      <c r="J76" s="96">
        <f>SUMIF($E$53:$E$72,"Otros - Unión Europea",$J$53:$J$72)</f>
        <v>0</v>
      </c>
      <c r="K76" s="96"/>
      <c r="L76" s="96"/>
      <c r="M76" s="359"/>
      <c r="O76" s="359"/>
      <c r="P76" s="359"/>
      <c r="Q76" s="359"/>
      <c r="R76" s="359"/>
      <c r="S76" s="38"/>
      <c r="U76" s="706"/>
      <c r="V76" s="707"/>
      <c r="W76" s="707"/>
      <c r="X76" s="707"/>
      <c r="Y76" s="730"/>
      <c r="Z76" s="707"/>
      <c r="AA76" s="707"/>
      <c r="AB76" s="707"/>
      <c r="AC76" s="707"/>
      <c r="AD76" s="707"/>
      <c r="AE76" s="707"/>
      <c r="AF76" s="707"/>
      <c r="AG76" s="707"/>
      <c r="AH76" s="708"/>
    </row>
    <row r="77" spans="2:34" ht="22.95" customHeight="1">
      <c r="B77" s="46"/>
      <c r="C77" s="599"/>
      <c r="D77" s="599"/>
      <c r="E77" s="96"/>
      <c r="F77" s="611" t="s">
        <v>606</v>
      </c>
      <c r="G77" s="96">
        <f>SUMIF($E$53:$E$72,"Otros - De otras Administraciones y Entes públicos",$G$53:$G$72)</f>
        <v>0</v>
      </c>
      <c r="H77" s="96">
        <f>SUMIF($E$53:$E$72,"Otros - De otras Administraciones y Entes públicos",$H$53:$H$72)</f>
        <v>0</v>
      </c>
      <c r="I77" s="96">
        <f>SUMIF($E$53:$E$72,"Otros - De otras Administraciones y Entes públicos",$I$53:$I$72)</f>
        <v>0</v>
      </c>
      <c r="J77" s="96">
        <f>SUMIF($E$53:$E$72,"Otros - De otras Administraciones y Entes públicos",$J$53:$J$72)</f>
        <v>0</v>
      </c>
      <c r="K77" s="96"/>
      <c r="L77" s="96"/>
      <c r="M77" s="359"/>
      <c r="O77" s="359"/>
      <c r="P77" s="359"/>
      <c r="Q77" s="359"/>
      <c r="R77" s="359"/>
      <c r="S77" s="38"/>
      <c r="U77" s="706"/>
      <c r="V77" s="707"/>
      <c r="W77" s="707"/>
      <c r="X77" s="707"/>
      <c r="Y77" s="730"/>
      <c r="Z77" s="707"/>
      <c r="AA77" s="707"/>
      <c r="AB77" s="707"/>
      <c r="AC77" s="707"/>
      <c r="AD77" s="707"/>
      <c r="AE77" s="707"/>
      <c r="AF77" s="707"/>
      <c r="AG77" s="707"/>
      <c r="AH77" s="708"/>
    </row>
    <row r="78" spans="2:34" ht="22.95" customHeight="1">
      <c r="B78" s="46"/>
      <c r="C78" s="599"/>
      <c r="D78" s="599"/>
      <c r="E78" s="96"/>
      <c r="F78" s="611" t="s">
        <v>600</v>
      </c>
      <c r="G78" s="96">
        <f>SUMIF($E$53:$E$72,"Otros - Donaciones recibidas de privados",$G$53:$G$72)</f>
        <v>325</v>
      </c>
      <c r="H78" s="96">
        <f>SUMIF($E$53:$E$72,"Otros - Donaciones recibidas de privados",$H$53:$H$72)</f>
        <v>0</v>
      </c>
      <c r="I78" s="96">
        <f>SUMIF($E$53:$E$72,"Otros - Donaciones recibidas de privados",$I$53:$I$72)</f>
        <v>325</v>
      </c>
      <c r="J78" s="96">
        <f>SUMIF($E$53:$E$72,"Otros - Donaciones recibidas de privados",$J$53:$J$72)</f>
        <v>0</v>
      </c>
      <c r="K78" s="96"/>
      <c r="L78" s="96"/>
      <c r="M78" s="359"/>
      <c r="O78" s="359"/>
      <c r="P78" s="359"/>
      <c r="Q78" s="359"/>
      <c r="R78" s="359"/>
      <c r="S78" s="38"/>
      <c r="U78" s="706"/>
      <c r="V78" s="707"/>
      <c r="W78" s="707"/>
      <c r="X78" s="707"/>
      <c r="Y78" s="730"/>
      <c r="Z78" s="707"/>
      <c r="AA78" s="707"/>
      <c r="AB78" s="707"/>
      <c r="AC78" s="707"/>
      <c r="AD78" s="707"/>
      <c r="AE78" s="707"/>
      <c r="AF78" s="707"/>
      <c r="AG78" s="707"/>
      <c r="AH78" s="708"/>
    </row>
    <row r="79" spans="2:34" ht="22.95" customHeight="1">
      <c r="B79" s="46"/>
      <c r="C79" s="599"/>
      <c r="D79" s="599"/>
      <c r="E79" s="96"/>
      <c r="F79" s="611"/>
      <c r="G79" s="96"/>
      <c r="H79" s="96"/>
      <c r="I79" s="96"/>
      <c r="J79" s="96"/>
      <c r="K79" s="96"/>
      <c r="L79" s="96"/>
      <c r="M79" s="359"/>
      <c r="O79" s="359"/>
      <c r="P79" s="359"/>
      <c r="Q79" s="359"/>
      <c r="R79" s="359"/>
      <c r="S79" s="38"/>
      <c r="U79" s="706"/>
      <c r="V79" s="707"/>
      <c r="W79" s="707"/>
      <c r="X79" s="707"/>
      <c r="Y79" s="707"/>
      <c r="Z79" s="707"/>
      <c r="AA79" s="707"/>
      <c r="AB79" s="707"/>
      <c r="AC79" s="707"/>
      <c r="AD79" s="707"/>
      <c r="AE79" s="707"/>
      <c r="AF79" s="707"/>
      <c r="AG79" s="707"/>
      <c r="AH79" s="708"/>
    </row>
    <row r="80" spans="2:34" s="45" customFormat="1" ht="30" customHeight="1">
      <c r="B80" s="41"/>
      <c r="C80" s="27" t="s">
        <v>607</v>
      </c>
      <c r="D80" s="8"/>
      <c r="E80" s="30"/>
      <c r="F80" s="30"/>
      <c r="G80" s="30"/>
      <c r="H80" s="30"/>
      <c r="I80" s="30"/>
      <c r="J80" s="30"/>
      <c r="K80" s="30"/>
      <c r="L80" s="30"/>
      <c r="M80" s="30"/>
      <c r="N80" s="32"/>
      <c r="O80" s="359"/>
      <c r="P80" s="359"/>
      <c r="Q80" s="359"/>
      <c r="R80" s="359"/>
      <c r="S80" s="44"/>
      <c r="U80" s="706"/>
      <c r="V80" s="707"/>
      <c r="W80" s="1243" t="s">
        <v>572</v>
      </c>
      <c r="X80" s="1243"/>
      <c r="Y80" s="707"/>
      <c r="Z80" s="707"/>
      <c r="AA80" s="707"/>
      <c r="AB80" s="707"/>
      <c r="AC80" s="707"/>
      <c r="AD80" s="707"/>
      <c r="AE80" s="707"/>
      <c r="AF80" s="707"/>
      <c r="AG80" s="707"/>
      <c r="AH80" s="708"/>
    </row>
    <row r="81" spans="2:34" s="45" customFormat="1" ht="30" customHeight="1">
      <c r="B81" s="41"/>
      <c r="C81" s="1218" t="s">
        <v>573</v>
      </c>
      <c r="D81" s="1219"/>
      <c r="E81" s="1229" t="s">
        <v>569</v>
      </c>
      <c r="F81" s="1240"/>
      <c r="G81" s="1229" t="s">
        <v>608</v>
      </c>
      <c r="H81" s="1240"/>
      <c r="I81" s="1229" t="s">
        <v>609</v>
      </c>
      <c r="J81" s="1240"/>
      <c r="K81" s="300"/>
      <c r="L81" s="300"/>
      <c r="M81" s="300"/>
      <c r="N81" s="299" t="s">
        <v>577</v>
      </c>
      <c r="O81" s="359"/>
      <c r="P81" s="359"/>
      <c r="Q81" s="359"/>
      <c r="R81" s="359"/>
      <c r="S81" s="44"/>
      <c r="U81" s="706"/>
      <c r="V81" s="707"/>
      <c r="W81" s="1243"/>
      <c r="X81" s="1243"/>
      <c r="Y81" s="707"/>
      <c r="Z81" s="707"/>
      <c r="AA81" s="707"/>
      <c r="AB81" s="707"/>
      <c r="AC81" s="707"/>
      <c r="AD81" s="707"/>
      <c r="AE81" s="707"/>
      <c r="AF81" s="707"/>
      <c r="AG81" s="707"/>
      <c r="AH81" s="708"/>
    </row>
    <row r="82" spans="2:34" ht="22.95" customHeight="1">
      <c r="B82" s="46"/>
      <c r="C82" s="1230" t="s">
        <v>578</v>
      </c>
      <c r="D82" s="1231"/>
      <c r="E82" s="1241" t="s">
        <v>574</v>
      </c>
      <c r="F82" s="1242"/>
      <c r="G82" s="300">
        <f>ejercicio-1</f>
        <v>2024</v>
      </c>
      <c r="H82" s="300">
        <f>ejercicio</f>
        <v>2025</v>
      </c>
      <c r="I82" s="300">
        <f>ejercicio-1</f>
        <v>2024</v>
      </c>
      <c r="J82" s="300">
        <f>ejercicio</f>
        <v>2025</v>
      </c>
      <c r="K82" s="300" t="s">
        <v>581</v>
      </c>
      <c r="L82" s="300" t="s">
        <v>582</v>
      </c>
      <c r="M82" s="300" t="s">
        <v>583</v>
      </c>
      <c r="N82" s="302" t="s">
        <v>584</v>
      </c>
      <c r="O82" s="359"/>
      <c r="P82" s="359"/>
      <c r="Q82" s="359"/>
      <c r="R82" s="359"/>
      <c r="S82" s="38"/>
      <c r="U82" s="706"/>
      <c r="V82" s="707"/>
      <c r="W82" s="323">
        <f>ejercicio-1</f>
        <v>2024</v>
      </c>
      <c r="X82" s="300">
        <f>ejercicio</f>
        <v>2025</v>
      </c>
      <c r="Y82" s="707"/>
      <c r="Z82" s="707"/>
      <c r="AA82" s="707"/>
      <c r="AB82" s="707"/>
      <c r="AC82" s="707"/>
      <c r="AD82" s="707"/>
      <c r="AE82" s="707"/>
      <c r="AF82" s="707"/>
      <c r="AG82" s="707"/>
      <c r="AH82" s="708"/>
    </row>
    <row r="83" spans="2:34" ht="22.95" customHeight="1">
      <c r="B83" s="46"/>
      <c r="C83" s="346" t="s">
        <v>610</v>
      </c>
      <c r="D83" s="934"/>
      <c r="E83" s="1003" t="s">
        <v>52</v>
      </c>
      <c r="F83" s="1004"/>
      <c r="G83" s="965">
        <v>401014.81</v>
      </c>
      <c r="H83" s="935"/>
      <c r="I83" s="1004">
        <v>401014.81</v>
      </c>
      <c r="J83" s="1004"/>
      <c r="K83" s="762">
        <v>612</v>
      </c>
      <c r="L83" s="762">
        <v>4141</v>
      </c>
      <c r="M83" s="1009">
        <v>48203</v>
      </c>
      <c r="N83" s="796">
        <v>2024</v>
      </c>
      <c r="O83" s="359"/>
      <c r="P83" s="359"/>
      <c r="Q83" s="359"/>
      <c r="R83" s="359"/>
      <c r="S83" s="38"/>
      <c r="U83" s="732" t="str">
        <f t="shared" ref="U83:U87" si="7">IF(AND((G83=I83),(H83=J83)),"","Explicar diferencia entre la aportación s/criterio Entidad y s/criterio Cabildo o AAPP")</f>
        <v/>
      </c>
      <c r="V83" s="707"/>
      <c r="W83" s="707"/>
      <c r="X83" s="707"/>
      <c r="Y83" s="730"/>
      <c r="Z83" s="707"/>
      <c r="AA83" s="707"/>
      <c r="AB83" s="707"/>
      <c r="AC83" s="707"/>
      <c r="AD83" s="707"/>
      <c r="AE83" s="707"/>
      <c r="AF83" s="707"/>
      <c r="AG83" s="707"/>
      <c r="AH83" s="708"/>
    </row>
    <row r="84" spans="2:34" ht="22.95" customHeight="1">
      <c r="B84" s="46"/>
      <c r="C84" s="600" t="s">
        <v>611</v>
      </c>
      <c r="D84" s="601"/>
      <c r="E84" s="1003" t="s">
        <v>52</v>
      </c>
      <c r="F84" s="986"/>
      <c r="G84" s="979"/>
      <c r="H84" s="621">
        <v>401000</v>
      </c>
      <c r="I84" s="982"/>
      <c r="J84" s="982">
        <v>401000</v>
      </c>
      <c r="K84" s="763">
        <v>612</v>
      </c>
      <c r="L84" s="763">
        <v>4141</v>
      </c>
      <c r="M84" s="1014">
        <v>48203</v>
      </c>
      <c r="N84" s="797">
        <v>2025</v>
      </c>
      <c r="O84" s="359"/>
      <c r="P84" s="359"/>
      <c r="Q84" s="359"/>
      <c r="R84" s="359"/>
      <c r="S84" s="38"/>
      <c r="U84" s="732" t="str">
        <f t="shared" si="7"/>
        <v/>
      </c>
      <c r="V84" s="707"/>
      <c r="W84" s="707"/>
      <c r="X84" s="707"/>
      <c r="Y84" s="730"/>
      <c r="Z84" s="707"/>
      <c r="AA84" s="707"/>
      <c r="AB84" s="707"/>
      <c r="AC84" s="707"/>
      <c r="AD84" s="707"/>
      <c r="AE84" s="707"/>
      <c r="AF84" s="707"/>
      <c r="AG84" s="707"/>
      <c r="AH84" s="708"/>
    </row>
    <row r="85" spans="2:34" ht="22.95" customHeight="1">
      <c r="B85" s="46"/>
      <c r="C85" s="600"/>
      <c r="D85" s="601"/>
      <c r="E85" s="1003"/>
      <c r="F85" s="986"/>
      <c r="G85" s="979"/>
      <c r="H85" s="621"/>
      <c r="I85" s="982"/>
      <c r="J85" s="982"/>
      <c r="K85" s="763"/>
      <c r="L85" s="763"/>
      <c r="M85" s="1014"/>
      <c r="N85" s="797"/>
      <c r="O85" s="1027"/>
      <c r="P85" s="1027"/>
      <c r="Q85" s="1027"/>
      <c r="R85" s="1027"/>
      <c r="S85" s="38"/>
      <c r="U85" s="732" t="str">
        <f t="shared" si="7"/>
        <v/>
      </c>
      <c r="V85" s="707"/>
      <c r="W85" s="707"/>
      <c r="X85" s="707"/>
      <c r="Y85" s="730"/>
      <c r="Z85" s="707"/>
      <c r="AA85" s="707"/>
      <c r="AB85" s="707"/>
      <c r="AC85" s="707"/>
      <c r="AD85" s="707"/>
      <c r="AE85" s="707"/>
      <c r="AF85" s="707"/>
      <c r="AG85" s="707"/>
      <c r="AH85" s="708"/>
    </row>
    <row r="86" spans="2:34" ht="22.95" customHeight="1">
      <c r="B86" s="46"/>
      <c r="C86" s="600"/>
      <c r="D86" s="601"/>
      <c r="E86" s="1003"/>
      <c r="F86" s="986"/>
      <c r="G86" s="968"/>
      <c r="H86" s="661"/>
      <c r="I86" s="986"/>
      <c r="J86" s="986"/>
      <c r="K86" s="764"/>
      <c r="L86" s="764"/>
      <c r="M86" s="1017"/>
      <c r="N86" s="797"/>
      <c r="O86" s="1027"/>
      <c r="P86" s="1027"/>
      <c r="Q86" s="1027"/>
      <c r="R86" s="1027"/>
      <c r="S86" s="38"/>
      <c r="U86" s="732" t="str">
        <f t="shared" si="7"/>
        <v/>
      </c>
      <c r="V86" s="707"/>
      <c r="W86" s="707"/>
      <c r="X86" s="707"/>
      <c r="Y86" s="730"/>
      <c r="Z86" s="707"/>
      <c r="AA86" s="707"/>
      <c r="AB86" s="707"/>
      <c r="AC86" s="707"/>
      <c r="AD86" s="707"/>
      <c r="AE86" s="707"/>
      <c r="AF86" s="707"/>
      <c r="AG86" s="707"/>
      <c r="AH86" s="708"/>
    </row>
    <row r="87" spans="2:34" ht="22.95" customHeight="1">
      <c r="B87" s="46"/>
      <c r="C87" s="603"/>
      <c r="D87" s="604"/>
      <c r="E87" s="1003"/>
      <c r="F87" s="996"/>
      <c r="G87" s="970"/>
      <c r="H87" s="930"/>
      <c r="I87" s="996"/>
      <c r="J87" s="996"/>
      <c r="K87" s="766"/>
      <c r="L87" s="766"/>
      <c r="M87" s="1030"/>
      <c r="N87" s="1030"/>
      <c r="O87" s="1027"/>
      <c r="P87" s="1027"/>
      <c r="Q87" s="1027"/>
      <c r="R87" s="1027"/>
      <c r="S87" s="38"/>
      <c r="U87" s="732" t="str">
        <f t="shared" si="7"/>
        <v/>
      </c>
      <c r="V87" s="707"/>
      <c r="W87" s="707"/>
      <c r="X87" s="707"/>
      <c r="Y87" s="730"/>
      <c r="Z87" s="707"/>
      <c r="AA87" s="707"/>
      <c r="AB87" s="707"/>
      <c r="AC87" s="707"/>
      <c r="AD87" s="707"/>
      <c r="AE87" s="707"/>
      <c r="AF87" s="707"/>
      <c r="AG87" s="707"/>
      <c r="AH87" s="708"/>
    </row>
    <row r="88" spans="2:34" ht="22.95" customHeight="1" thickBot="1">
      <c r="B88" s="46"/>
      <c r="C88" s="1234" t="s">
        <v>585</v>
      </c>
      <c r="D88" s="1235"/>
      <c r="E88" s="1235"/>
      <c r="F88" s="1236"/>
      <c r="G88" s="69">
        <f>SUM(G83:G87)</f>
        <v>401014.81</v>
      </c>
      <c r="H88" s="69">
        <f>SUM(H83:H87)</f>
        <v>401000</v>
      </c>
      <c r="I88" s="69">
        <f>SUM(I83:I87)</f>
        <v>401014.81</v>
      </c>
      <c r="J88" s="69">
        <f>SUM(J83:J87)</f>
        <v>401000</v>
      </c>
      <c r="K88" s="94"/>
      <c r="L88" s="58"/>
      <c r="M88" s="58"/>
      <c r="N88" s="58"/>
      <c r="O88" s="58"/>
      <c r="P88" s="58"/>
      <c r="Q88" s="58"/>
      <c r="R88" s="58"/>
      <c r="S88" s="38"/>
      <c r="U88" s="706"/>
      <c r="V88" s="707"/>
      <c r="W88" s="707"/>
      <c r="X88" s="707"/>
      <c r="Y88" s="707"/>
      <c r="Z88" s="707"/>
      <c r="AA88" s="707"/>
      <c r="AB88" s="707"/>
      <c r="AC88" s="707"/>
      <c r="AD88" s="707"/>
      <c r="AE88" s="707"/>
      <c r="AF88" s="707"/>
      <c r="AG88" s="707"/>
      <c r="AH88" s="708"/>
    </row>
    <row r="89" spans="2:34" ht="22.95" customHeight="1">
      <c r="B89" s="46"/>
      <c r="C89" s="599"/>
      <c r="D89" s="599"/>
      <c r="E89" s="96"/>
      <c r="F89" s="611" t="s">
        <v>612</v>
      </c>
      <c r="G89" s="96">
        <f>SUMIF(E83:E87,"Cabildo Insular de Tenerife",G83:G87)</f>
        <v>401014.81</v>
      </c>
      <c r="H89" s="96">
        <f>SUMIF(E83:E87,"Cabildo Insular de Tenerife",H83:H87)</f>
        <v>401000</v>
      </c>
      <c r="I89" s="96">
        <f>SUMIF(E83:E87,"Cabildo Insular de Tenerife",I83:I87)</f>
        <v>401014.81</v>
      </c>
      <c r="J89" s="96">
        <f>SUMIF(E83:E87,"Cabildo Insular de Tenerife",J83:J87)</f>
        <v>401000</v>
      </c>
      <c r="K89" s="96"/>
      <c r="L89" s="96"/>
      <c r="M89" s="359"/>
      <c r="N89" s="359"/>
      <c r="O89" s="359"/>
      <c r="P89" s="359"/>
      <c r="Q89" s="359"/>
      <c r="R89" s="359"/>
      <c r="S89" s="38"/>
      <c r="U89" s="706"/>
      <c r="V89" s="707"/>
      <c r="W89" s="707"/>
      <c r="X89" s="707"/>
      <c r="Y89" s="707"/>
      <c r="Z89" s="707"/>
      <c r="AA89" s="707"/>
      <c r="AB89" s="707"/>
      <c r="AC89" s="707"/>
      <c r="AD89" s="707"/>
      <c r="AE89" s="707"/>
      <c r="AF89" s="707"/>
      <c r="AG89" s="707"/>
      <c r="AH89" s="708"/>
    </row>
    <row r="90" spans="2:34" ht="22.95" customHeight="1">
      <c r="B90" s="46"/>
      <c r="C90" s="599"/>
      <c r="D90" s="599"/>
      <c r="E90" s="96"/>
      <c r="F90" s="611"/>
      <c r="G90" s="96"/>
      <c r="H90" s="96"/>
      <c r="I90" s="96"/>
      <c r="J90" s="96"/>
      <c r="K90" s="96"/>
      <c r="L90" s="96"/>
      <c r="M90" s="359"/>
      <c r="N90" s="359"/>
      <c r="O90" s="359"/>
      <c r="P90" s="359"/>
      <c r="Q90" s="359"/>
      <c r="R90" s="359"/>
      <c r="S90" s="38"/>
      <c r="U90" s="706"/>
      <c r="V90" s="707"/>
      <c r="W90" s="707"/>
      <c r="X90" s="707"/>
      <c r="Y90" s="707"/>
      <c r="Z90" s="707"/>
      <c r="AA90" s="707"/>
      <c r="AB90" s="707"/>
      <c r="AC90" s="707"/>
      <c r="AD90" s="707"/>
      <c r="AE90" s="707"/>
      <c r="AF90" s="707"/>
      <c r="AG90" s="707"/>
      <c r="AH90" s="708"/>
    </row>
    <row r="91" spans="2:34" s="45" customFormat="1" ht="30" customHeight="1">
      <c r="B91" s="41"/>
      <c r="C91" s="27" t="s">
        <v>613</v>
      </c>
      <c r="D91" s="8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44"/>
      <c r="U91" s="706"/>
      <c r="V91" s="707"/>
      <c r="W91" s="707"/>
      <c r="X91" s="707"/>
      <c r="Y91" s="707"/>
      <c r="Z91" s="707"/>
      <c r="AA91" s="707"/>
      <c r="AB91" s="707"/>
      <c r="AC91" s="707"/>
      <c r="AD91" s="707"/>
      <c r="AE91" s="707"/>
      <c r="AF91" s="707"/>
      <c r="AG91" s="707"/>
      <c r="AH91" s="708"/>
    </row>
    <row r="92" spans="2:34" ht="37.200000000000003" customHeight="1">
      <c r="B92" s="46"/>
      <c r="C92" s="1207" t="s">
        <v>573</v>
      </c>
      <c r="D92" s="1209"/>
      <c r="E92" s="1229" t="s">
        <v>569</v>
      </c>
      <c r="F92" s="1240"/>
      <c r="G92" s="300">
        <f>ejercicio-1</f>
        <v>2024</v>
      </c>
      <c r="H92" s="300">
        <f>ejercicio</f>
        <v>2025</v>
      </c>
      <c r="I92" s="300" t="s">
        <v>581</v>
      </c>
      <c r="J92" s="300" t="s">
        <v>582</v>
      </c>
      <c r="K92" s="300" t="s">
        <v>583</v>
      </c>
      <c r="L92" s="300" t="s">
        <v>614</v>
      </c>
      <c r="M92" s="31"/>
      <c r="N92" s="31"/>
      <c r="O92" s="31"/>
      <c r="P92" s="31"/>
      <c r="Q92" s="31"/>
      <c r="R92" s="31"/>
      <c r="S92" s="38"/>
      <c r="U92" s="706"/>
      <c r="V92" s="707"/>
      <c r="W92" s="707"/>
      <c r="X92" s="707"/>
      <c r="Y92" s="707"/>
      <c r="Z92" s="707"/>
      <c r="AA92" s="707"/>
      <c r="AB92" s="707"/>
      <c r="AC92" s="707"/>
      <c r="AD92" s="707"/>
      <c r="AE92" s="707"/>
      <c r="AF92" s="707"/>
      <c r="AG92" s="707"/>
      <c r="AH92" s="708"/>
    </row>
    <row r="93" spans="2:34" ht="22.95" customHeight="1">
      <c r="B93" s="46"/>
      <c r="C93" s="346"/>
      <c r="D93" s="934"/>
      <c r="E93" s="1168"/>
      <c r="F93" s="1169"/>
      <c r="G93" s="965"/>
      <c r="H93" s="935"/>
      <c r="I93" s="762"/>
      <c r="J93" s="762"/>
      <c r="K93" s="1009"/>
      <c r="L93" s="796"/>
      <c r="M93" s="31"/>
      <c r="N93" s="31"/>
      <c r="O93" s="31"/>
      <c r="P93" s="31"/>
      <c r="Q93" s="31"/>
      <c r="R93" s="31"/>
      <c r="S93" s="38"/>
      <c r="U93" s="706"/>
      <c r="V93" s="707"/>
      <c r="W93" s="707"/>
      <c r="X93" s="707"/>
      <c r="Y93" s="707"/>
      <c r="Z93" s="707"/>
      <c r="AA93" s="707"/>
      <c r="AB93" s="707"/>
      <c r="AC93" s="707"/>
      <c r="AD93" s="707"/>
      <c r="AE93" s="707"/>
      <c r="AF93" s="707"/>
      <c r="AG93" s="707"/>
      <c r="AH93" s="708"/>
    </row>
    <row r="94" spans="2:34" ht="22.95" customHeight="1">
      <c r="B94" s="46"/>
      <c r="C94" s="600"/>
      <c r="D94" s="601"/>
      <c r="E94" s="1168"/>
      <c r="F94" s="1169"/>
      <c r="G94" s="988"/>
      <c r="H94" s="666"/>
      <c r="I94" s="765"/>
      <c r="J94" s="765"/>
      <c r="K94" s="1020"/>
      <c r="L94" s="800"/>
      <c r="M94" s="31"/>
      <c r="N94" s="31"/>
      <c r="O94" s="31"/>
      <c r="P94" s="31"/>
      <c r="Q94" s="31"/>
      <c r="R94" s="31"/>
      <c r="S94" s="38"/>
      <c r="U94" s="706"/>
      <c r="V94" s="707"/>
      <c r="W94" s="707"/>
      <c r="X94" s="707"/>
      <c r="Y94" s="707"/>
      <c r="Z94" s="707"/>
      <c r="AA94" s="707"/>
      <c r="AB94" s="707"/>
      <c r="AC94" s="707"/>
      <c r="AD94" s="707"/>
      <c r="AE94" s="707"/>
      <c r="AF94" s="707"/>
      <c r="AG94" s="707"/>
      <c r="AH94" s="708"/>
    </row>
    <row r="95" spans="2:34" ht="22.95" customHeight="1">
      <c r="B95" s="46"/>
      <c r="C95" s="600"/>
      <c r="D95" s="601"/>
      <c r="E95" s="1168"/>
      <c r="F95" s="1169"/>
      <c r="G95" s="988"/>
      <c r="H95" s="666"/>
      <c r="I95" s="765"/>
      <c r="J95" s="765"/>
      <c r="K95" s="1020"/>
      <c r="L95" s="800"/>
      <c r="M95" s="31"/>
      <c r="N95" s="31"/>
      <c r="O95" s="31"/>
      <c r="P95" s="31"/>
      <c r="Q95" s="31"/>
      <c r="R95" s="31"/>
      <c r="S95" s="38"/>
      <c r="U95" s="706"/>
      <c r="V95" s="707"/>
      <c r="W95" s="707"/>
      <c r="X95" s="707"/>
      <c r="Y95" s="707"/>
      <c r="Z95" s="707"/>
      <c r="AA95" s="707"/>
      <c r="AB95" s="707"/>
      <c r="AC95" s="707"/>
      <c r="AD95" s="707"/>
      <c r="AE95" s="707"/>
      <c r="AF95" s="707"/>
      <c r="AG95" s="707"/>
      <c r="AH95" s="708"/>
    </row>
    <row r="96" spans="2:34" ht="22.95" customHeight="1">
      <c r="B96" s="46"/>
      <c r="C96" s="603"/>
      <c r="D96" s="604"/>
      <c r="E96" s="1168"/>
      <c r="F96" s="1169"/>
      <c r="G96" s="970"/>
      <c r="H96" s="930"/>
      <c r="I96" s="766"/>
      <c r="J96" s="766"/>
      <c r="K96" s="1030"/>
      <c r="L96" s="799"/>
      <c r="M96" s="31"/>
      <c r="N96" s="31"/>
      <c r="O96" s="31"/>
      <c r="P96" s="31"/>
      <c r="Q96" s="31"/>
      <c r="R96" s="31"/>
      <c r="S96" s="38"/>
      <c r="U96" s="706"/>
      <c r="V96" s="707"/>
      <c r="W96" s="707"/>
      <c r="X96" s="707"/>
      <c r="Y96" s="707"/>
      <c r="Z96" s="707"/>
      <c r="AA96" s="707"/>
      <c r="AB96" s="707"/>
      <c r="AC96" s="707"/>
      <c r="AD96" s="707"/>
      <c r="AE96" s="707"/>
      <c r="AF96" s="707"/>
      <c r="AG96" s="707"/>
      <c r="AH96" s="708"/>
    </row>
    <row r="97" spans="2:34" ht="22.95" customHeight="1" thickBot="1">
      <c r="B97" s="46"/>
      <c r="C97" s="1234" t="s">
        <v>615</v>
      </c>
      <c r="D97" s="1235"/>
      <c r="E97" s="1235"/>
      <c r="F97" s="1236"/>
      <c r="G97" s="69">
        <f>SUM(G93:G96)</f>
        <v>0</v>
      </c>
      <c r="H97" s="69">
        <f>SUM(H93:H96)</f>
        <v>0</v>
      </c>
      <c r="I97" s="30"/>
      <c r="J97" s="30"/>
      <c r="K97" s="66"/>
      <c r="L97" s="58"/>
      <c r="M97" s="58"/>
      <c r="N97" s="58"/>
      <c r="O97" s="58"/>
      <c r="P97" s="58"/>
      <c r="Q97" s="58"/>
      <c r="R97" s="58"/>
      <c r="S97" s="38"/>
      <c r="U97" s="706"/>
      <c r="V97" s="707"/>
      <c r="W97" s="707"/>
      <c r="X97" s="707"/>
      <c r="Y97" s="707"/>
      <c r="Z97" s="707"/>
      <c r="AA97" s="707"/>
      <c r="AB97" s="707"/>
      <c r="AC97" s="707"/>
      <c r="AD97" s="707"/>
      <c r="AE97" s="707"/>
      <c r="AF97" s="707"/>
      <c r="AG97" s="707"/>
      <c r="AH97" s="708"/>
    </row>
    <row r="98" spans="2:34" ht="22.95" customHeight="1">
      <c r="B98" s="46"/>
      <c r="C98" s="599"/>
      <c r="D98" s="599"/>
      <c r="E98" s="96"/>
      <c r="F98" s="96"/>
      <c r="G98" s="425"/>
      <c r="H98" s="425"/>
      <c r="I98" s="425"/>
      <c r="J98" s="425"/>
      <c r="K98" s="425"/>
      <c r="L98" s="30"/>
      <c r="M98" s="30"/>
      <c r="N98" s="66"/>
      <c r="O98" s="96"/>
      <c r="P98" s="359"/>
      <c r="Q98" s="359"/>
      <c r="R98" s="359"/>
      <c r="S98" s="38"/>
      <c r="U98" s="706"/>
      <c r="V98" s="707"/>
      <c r="W98" s="707"/>
      <c r="X98" s="707"/>
      <c r="Y98" s="707"/>
      <c r="Z98" s="707"/>
      <c r="AA98" s="707"/>
      <c r="AB98" s="707"/>
      <c r="AC98" s="707"/>
      <c r="AD98" s="707"/>
      <c r="AE98" s="707"/>
      <c r="AF98" s="707"/>
      <c r="AG98" s="707"/>
      <c r="AH98" s="708"/>
    </row>
    <row r="99" spans="2:34" ht="22.95" customHeight="1">
      <c r="B99" s="46"/>
      <c r="C99" s="67" t="s">
        <v>616</v>
      </c>
      <c r="D99" s="65"/>
      <c r="E99" s="66"/>
      <c r="F99" s="66"/>
      <c r="G99" s="66"/>
      <c r="H99" s="66"/>
      <c r="I99" s="66"/>
      <c r="J99" s="66"/>
      <c r="K99" s="66"/>
      <c r="L99" s="30"/>
      <c r="M99" s="30"/>
      <c r="N99" s="66"/>
      <c r="O99" s="66"/>
      <c r="P99" s="30"/>
      <c r="Q99" s="30"/>
      <c r="R99" s="30"/>
      <c r="S99" s="38"/>
      <c r="U99" s="706"/>
      <c r="V99" s="707"/>
      <c r="W99" s="707"/>
      <c r="X99" s="707"/>
      <c r="Y99" s="707"/>
      <c r="Z99" s="707"/>
      <c r="AA99" s="707"/>
      <c r="AB99" s="707"/>
      <c r="AC99" s="707"/>
      <c r="AD99" s="707"/>
      <c r="AE99" s="707"/>
      <c r="AF99" s="707"/>
      <c r="AG99" s="707"/>
      <c r="AH99" s="708"/>
    </row>
    <row r="100" spans="2:34" ht="17.399999999999999">
      <c r="B100" s="46"/>
      <c r="C100" s="291"/>
      <c r="D100" s="291"/>
      <c r="E100" s="292"/>
      <c r="F100" s="292"/>
      <c r="G100" s="292"/>
      <c r="H100" s="292"/>
      <c r="I100" s="292"/>
      <c r="J100" s="292"/>
      <c r="K100" s="292"/>
      <c r="L100" s="292"/>
      <c r="M100" s="292"/>
      <c r="N100" s="292"/>
      <c r="O100" s="292"/>
      <c r="P100" s="293"/>
      <c r="Q100" s="305"/>
      <c r="R100" s="305"/>
      <c r="S100" s="38"/>
      <c r="U100" s="706"/>
      <c r="V100" s="707"/>
      <c r="W100" s="707"/>
      <c r="X100" s="707"/>
      <c r="Y100" s="707"/>
      <c r="Z100" s="707"/>
      <c r="AA100" s="707"/>
      <c r="AB100" s="707"/>
      <c r="AC100" s="707"/>
      <c r="AD100" s="707"/>
      <c r="AE100" s="707"/>
      <c r="AF100" s="707"/>
      <c r="AG100" s="707"/>
      <c r="AH100" s="708"/>
    </row>
    <row r="101" spans="2:34" ht="17.399999999999999">
      <c r="B101" s="46"/>
      <c r="C101" s="294"/>
      <c r="D101" s="294"/>
      <c r="E101" s="295"/>
      <c r="F101" s="295"/>
      <c r="G101" s="295"/>
      <c r="H101" s="295"/>
      <c r="I101" s="295"/>
      <c r="J101" s="295"/>
      <c r="K101" s="295"/>
      <c r="L101" s="295"/>
      <c r="M101" s="295"/>
      <c r="N101" s="295"/>
      <c r="O101" s="295"/>
      <c r="P101" s="296"/>
      <c r="Q101" s="305"/>
      <c r="R101" s="305"/>
      <c r="S101" s="38"/>
      <c r="U101" s="706"/>
      <c r="V101" s="707"/>
      <c r="W101" s="707"/>
      <c r="X101" s="707"/>
      <c r="Y101" s="707"/>
      <c r="Z101" s="707"/>
      <c r="AA101" s="707"/>
      <c r="AB101" s="707"/>
      <c r="AC101" s="707"/>
      <c r="AD101" s="707"/>
      <c r="AE101" s="707"/>
      <c r="AF101" s="707"/>
      <c r="AG101" s="707"/>
      <c r="AH101" s="708"/>
    </row>
    <row r="102" spans="2:34" ht="17.399999999999999">
      <c r="B102" s="46"/>
      <c r="C102" s="294"/>
      <c r="D102" s="294"/>
      <c r="E102" s="295"/>
      <c r="F102" s="295"/>
      <c r="G102" s="295"/>
      <c r="H102" s="295"/>
      <c r="I102" s="295"/>
      <c r="J102" s="295"/>
      <c r="K102" s="295"/>
      <c r="L102" s="295"/>
      <c r="M102" s="295"/>
      <c r="N102" s="295"/>
      <c r="O102" s="295"/>
      <c r="P102" s="296"/>
      <c r="Q102" s="305"/>
      <c r="R102" s="305"/>
      <c r="S102" s="38"/>
      <c r="U102" s="706"/>
      <c r="V102" s="707"/>
      <c r="W102" s="707"/>
      <c r="X102" s="707"/>
      <c r="Y102" s="707"/>
      <c r="Z102" s="707"/>
      <c r="AA102" s="707"/>
      <c r="AB102" s="707"/>
      <c r="AC102" s="707"/>
      <c r="AD102" s="707"/>
      <c r="AE102" s="707"/>
      <c r="AF102" s="707"/>
      <c r="AG102" s="707"/>
      <c r="AH102" s="708"/>
    </row>
    <row r="103" spans="2:34" ht="17.399999999999999">
      <c r="B103" s="46"/>
      <c r="C103" s="294"/>
      <c r="D103" s="294"/>
      <c r="E103" s="295"/>
      <c r="F103" s="295"/>
      <c r="G103" s="295"/>
      <c r="H103" s="295"/>
      <c r="I103" s="295"/>
      <c r="J103" s="295"/>
      <c r="K103" s="295"/>
      <c r="L103" s="295"/>
      <c r="M103" s="295"/>
      <c r="N103" s="295"/>
      <c r="O103" s="295"/>
      <c r="P103" s="296"/>
      <c r="Q103" s="305"/>
      <c r="R103" s="305"/>
      <c r="S103" s="38"/>
      <c r="U103" s="706"/>
      <c r="V103" s="707"/>
      <c r="W103" s="707"/>
      <c r="X103" s="707"/>
      <c r="Y103" s="707"/>
      <c r="Z103" s="707"/>
      <c r="AA103" s="707"/>
      <c r="AB103" s="707"/>
      <c r="AC103" s="707"/>
      <c r="AD103" s="707"/>
      <c r="AE103" s="707"/>
      <c r="AF103" s="707"/>
      <c r="AG103" s="707"/>
      <c r="AH103" s="708"/>
    </row>
    <row r="104" spans="2:34" ht="17.399999999999999">
      <c r="B104" s="46"/>
      <c r="C104" s="294"/>
      <c r="D104" s="294"/>
      <c r="E104" s="295"/>
      <c r="F104" s="295"/>
      <c r="G104" s="295"/>
      <c r="H104" s="295"/>
      <c r="I104" s="295"/>
      <c r="J104" s="295"/>
      <c r="K104" s="295"/>
      <c r="L104" s="295"/>
      <c r="M104" s="295"/>
      <c r="N104" s="295"/>
      <c r="O104" s="295"/>
      <c r="P104" s="296"/>
      <c r="Q104" s="305"/>
      <c r="R104" s="305"/>
      <c r="S104" s="38"/>
      <c r="U104" s="706"/>
      <c r="V104" s="707"/>
      <c r="W104" s="707"/>
      <c r="X104" s="707"/>
      <c r="Y104" s="707"/>
      <c r="Z104" s="707"/>
      <c r="AA104" s="707"/>
      <c r="AB104" s="707"/>
      <c r="AC104" s="707"/>
      <c r="AD104" s="707"/>
      <c r="AE104" s="707"/>
      <c r="AF104" s="707"/>
      <c r="AG104" s="707"/>
      <c r="AH104" s="708"/>
    </row>
    <row r="105" spans="2:34" ht="17.399999999999999">
      <c r="B105" s="46"/>
      <c r="C105" s="294"/>
      <c r="D105" s="294"/>
      <c r="E105" s="295"/>
      <c r="F105" s="295"/>
      <c r="G105" s="295"/>
      <c r="H105" s="295"/>
      <c r="I105" s="295"/>
      <c r="J105" s="295"/>
      <c r="K105" s="295"/>
      <c r="L105" s="295"/>
      <c r="M105" s="295"/>
      <c r="N105" s="295"/>
      <c r="O105" s="295"/>
      <c r="P105" s="296"/>
      <c r="Q105" s="305"/>
      <c r="R105" s="305"/>
      <c r="S105" s="38"/>
      <c r="U105" s="706"/>
      <c r="V105" s="707"/>
      <c r="W105" s="707"/>
      <c r="X105" s="707"/>
      <c r="Y105" s="707"/>
      <c r="Z105" s="707"/>
      <c r="AA105" s="707"/>
      <c r="AB105" s="707"/>
      <c r="AC105" s="707"/>
      <c r="AD105" s="707"/>
      <c r="AE105" s="707"/>
      <c r="AF105" s="707"/>
      <c r="AG105" s="707"/>
      <c r="AH105" s="708"/>
    </row>
    <row r="106" spans="2:34" ht="17.399999999999999">
      <c r="B106" s="46"/>
      <c r="C106" s="294"/>
      <c r="D106" s="294"/>
      <c r="E106" s="295"/>
      <c r="F106" s="295"/>
      <c r="G106" s="295"/>
      <c r="H106" s="295"/>
      <c r="I106" s="295"/>
      <c r="J106" s="295"/>
      <c r="K106" s="295"/>
      <c r="L106" s="295"/>
      <c r="M106" s="295"/>
      <c r="N106" s="295"/>
      <c r="O106" s="295"/>
      <c r="P106" s="296"/>
      <c r="Q106" s="305"/>
      <c r="R106" s="305"/>
      <c r="S106" s="38"/>
      <c r="U106" s="706"/>
      <c r="V106" s="707"/>
      <c r="W106" s="707"/>
      <c r="X106" s="707"/>
      <c r="Y106" s="707"/>
      <c r="Z106" s="707"/>
      <c r="AA106" s="707"/>
      <c r="AB106" s="707"/>
      <c r="AC106" s="707"/>
      <c r="AD106" s="707"/>
      <c r="AE106" s="707"/>
      <c r="AF106" s="707"/>
      <c r="AG106" s="707"/>
      <c r="AH106" s="708"/>
    </row>
    <row r="107" spans="2:34" ht="17.399999999999999">
      <c r="B107" s="46"/>
      <c r="C107" s="294"/>
      <c r="D107" s="294"/>
      <c r="E107" s="295"/>
      <c r="F107" s="295"/>
      <c r="G107" s="295"/>
      <c r="H107" s="295"/>
      <c r="I107" s="295"/>
      <c r="J107" s="295"/>
      <c r="K107" s="295"/>
      <c r="L107" s="295"/>
      <c r="M107" s="295"/>
      <c r="N107" s="295"/>
      <c r="O107" s="295"/>
      <c r="P107" s="296"/>
      <c r="Q107" s="305"/>
      <c r="R107" s="305"/>
      <c r="S107" s="38"/>
      <c r="U107" s="706"/>
      <c r="V107" s="707"/>
      <c r="W107" s="707"/>
      <c r="X107" s="707"/>
      <c r="Y107" s="707"/>
      <c r="Z107" s="707"/>
      <c r="AA107" s="707"/>
      <c r="AB107" s="707"/>
      <c r="AC107" s="707"/>
      <c r="AD107" s="707"/>
      <c r="AE107" s="707"/>
      <c r="AF107" s="707"/>
      <c r="AG107" s="707"/>
      <c r="AH107" s="708"/>
    </row>
    <row r="108" spans="2:34" ht="17.399999999999999">
      <c r="B108" s="46"/>
      <c r="C108" s="294"/>
      <c r="D108" s="294"/>
      <c r="E108" s="295"/>
      <c r="F108" s="295"/>
      <c r="G108" s="295"/>
      <c r="H108" s="295"/>
      <c r="I108" s="295"/>
      <c r="J108" s="295"/>
      <c r="K108" s="295"/>
      <c r="L108" s="295"/>
      <c r="M108" s="295"/>
      <c r="N108" s="295"/>
      <c r="O108" s="295"/>
      <c r="P108" s="296"/>
      <c r="Q108" s="305"/>
      <c r="R108" s="305"/>
      <c r="S108" s="38"/>
      <c r="U108" s="706"/>
      <c r="V108" s="707"/>
      <c r="W108" s="707"/>
      <c r="X108" s="707"/>
      <c r="Y108" s="707"/>
      <c r="Z108" s="707"/>
      <c r="AA108" s="707"/>
      <c r="AB108" s="707"/>
      <c r="AC108" s="707"/>
      <c r="AD108" s="707"/>
      <c r="AE108" s="707"/>
      <c r="AF108" s="707"/>
      <c r="AG108" s="707"/>
      <c r="AH108" s="708"/>
    </row>
    <row r="109" spans="2:34" ht="17.399999999999999">
      <c r="B109" s="46"/>
      <c r="C109" s="294"/>
      <c r="D109" s="294"/>
      <c r="E109" s="295"/>
      <c r="F109" s="295"/>
      <c r="G109" s="295"/>
      <c r="H109" s="295"/>
      <c r="I109" s="295"/>
      <c r="J109" s="295"/>
      <c r="K109" s="295"/>
      <c r="L109" s="295"/>
      <c r="M109" s="295"/>
      <c r="N109" s="295"/>
      <c r="O109" s="295"/>
      <c r="P109" s="296"/>
      <c r="Q109" s="305"/>
      <c r="R109" s="305"/>
      <c r="S109" s="38"/>
      <c r="U109" s="706"/>
      <c r="V109" s="707"/>
      <c r="W109" s="707"/>
      <c r="X109" s="707"/>
      <c r="Y109" s="707"/>
      <c r="Z109" s="707"/>
      <c r="AA109" s="707"/>
      <c r="AB109" s="707"/>
      <c r="AC109" s="707"/>
      <c r="AD109" s="707"/>
      <c r="AE109" s="707"/>
      <c r="AF109" s="707"/>
      <c r="AG109" s="707"/>
      <c r="AH109" s="708"/>
    </row>
    <row r="110" spans="2:34" ht="17.399999999999999">
      <c r="B110" s="46"/>
      <c r="C110" s="306" t="s">
        <v>617</v>
      </c>
      <c r="D110" s="303"/>
      <c r="E110" s="304"/>
      <c r="F110" s="304"/>
      <c r="G110" s="304"/>
      <c r="H110" s="304"/>
      <c r="I110" s="304"/>
      <c r="J110" s="304"/>
      <c r="K110" s="304"/>
      <c r="L110" s="304"/>
      <c r="M110" s="304"/>
      <c r="N110" s="304"/>
      <c r="O110" s="304"/>
      <c r="P110" s="305"/>
      <c r="Q110" s="305"/>
      <c r="R110" s="305"/>
      <c r="S110" s="38"/>
      <c r="U110" s="706"/>
      <c r="V110" s="707"/>
      <c r="W110" s="707"/>
      <c r="X110" s="707"/>
      <c r="Y110" s="707"/>
      <c r="Z110" s="707"/>
      <c r="AA110" s="707"/>
      <c r="AB110" s="707"/>
      <c r="AC110" s="707"/>
      <c r="AD110" s="707"/>
      <c r="AE110" s="707"/>
      <c r="AF110" s="707"/>
      <c r="AG110" s="707"/>
      <c r="AH110" s="708"/>
    </row>
    <row r="111" spans="2:34" ht="17.399999999999999">
      <c r="B111" s="46"/>
      <c r="C111" s="804" t="s">
        <v>618</v>
      </c>
      <c r="D111" s="65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30"/>
      <c r="Q111" s="30"/>
      <c r="R111" s="30"/>
      <c r="S111" s="38"/>
      <c r="U111" s="732"/>
      <c r="V111" s="733"/>
      <c r="W111" s="733"/>
      <c r="X111" s="733"/>
      <c r="Y111" s="733"/>
      <c r="Z111" s="733"/>
      <c r="AA111" s="733"/>
      <c r="AB111" s="733"/>
      <c r="AC111" s="733"/>
      <c r="AD111" s="733"/>
      <c r="AE111" s="733"/>
      <c r="AF111" s="733"/>
      <c r="AG111" s="733"/>
      <c r="AH111" s="734"/>
    </row>
    <row r="112" spans="2:34" ht="17.399999999999999">
      <c r="B112" s="46"/>
      <c r="C112" s="804" t="s">
        <v>619</v>
      </c>
      <c r="D112" s="65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30"/>
      <c r="Q112" s="30"/>
      <c r="R112" s="30"/>
      <c r="S112" s="38"/>
      <c r="U112" s="732"/>
      <c r="V112" s="733"/>
      <c r="W112" s="733"/>
      <c r="X112" s="733"/>
      <c r="Y112" s="733"/>
      <c r="Z112" s="733"/>
      <c r="AA112" s="733"/>
      <c r="AB112" s="733"/>
      <c r="AC112" s="733"/>
      <c r="AD112" s="733"/>
      <c r="AE112" s="733"/>
      <c r="AF112" s="733"/>
      <c r="AG112" s="733"/>
      <c r="AH112" s="734"/>
    </row>
    <row r="113" spans="2:34" ht="17.399999999999999">
      <c r="B113" s="46"/>
      <c r="C113" s="307" t="s">
        <v>620</v>
      </c>
      <c r="D113" s="303"/>
      <c r="E113" s="304"/>
      <c r="F113" s="304"/>
      <c r="G113" s="308">
        <f>ejercicio-1</f>
        <v>2024</v>
      </c>
      <c r="H113" s="304" t="s">
        <v>621</v>
      </c>
      <c r="I113" s="304"/>
      <c r="J113" s="304"/>
      <c r="K113" s="308">
        <f>ejercicio</f>
        <v>2025</v>
      </c>
      <c r="L113" s="304"/>
      <c r="M113" s="304"/>
      <c r="O113" s="304"/>
      <c r="P113" s="305"/>
      <c r="Q113" s="305"/>
      <c r="R113" s="305"/>
      <c r="S113" s="38"/>
      <c r="U113" s="706"/>
      <c r="V113" s="707"/>
      <c r="W113" s="707"/>
      <c r="X113" s="707"/>
      <c r="Y113" s="707"/>
      <c r="Z113" s="707"/>
      <c r="AA113" s="707"/>
      <c r="AB113" s="707"/>
      <c r="AC113" s="707"/>
      <c r="AD113" s="707"/>
      <c r="AE113" s="707"/>
      <c r="AF113" s="707"/>
      <c r="AG113" s="707"/>
      <c r="AH113" s="708"/>
    </row>
    <row r="114" spans="2:34" ht="17.399999999999999">
      <c r="B114" s="46"/>
      <c r="C114" s="307" t="s">
        <v>622</v>
      </c>
      <c r="D114" s="303"/>
      <c r="E114" s="304"/>
      <c r="F114" s="304"/>
      <c r="G114" s="304"/>
      <c r="H114" s="304"/>
      <c r="I114" s="304"/>
      <c r="J114" s="304"/>
      <c r="K114" s="304"/>
      <c r="L114" s="304"/>
      <c r="M114" s="304"/>
      <c r="N114" s="304"/>
      <c r="O114" s="304"/>
      <c r="P114" s="305"/>
      <c r="Q114" s="305"/>
      <c r="R114" s="305"/>
      <c r="S114" s="38"/>
      <c r="U114" s="706"/>
      <c r="V114" s="707"/>
      <c r="W114" s="707"/>
      <c r="X114" s="707"/>
      <c r="Y114" s="707"/>
      <c r="Z114" s="707"/>
      <c r="AA114" s="707"/>
      <c r="AB114" s="707"/>
      <c r="AC114" s="707"/>
      <c r="AD114" s="707"/>
      <c r="AE114" s="707"/>
      <c r="AF114" s="707"/>
      <c r="AG114" s="707"/>
      <c r="AH114" s="708"/>
    </row>
    <row r="115" spans="2:34" ht="17.399999999999999">
      <c r="B115" s="46"/>
      <c r="C115" s="303" t="s">
        <v>623</v>
      </c>
      <c r="D115" s="303"/>
      <c r="E115" s="304"/>
      <c r="F115" s="304"/>
      <c r="G115" s="304"/>
      <c r="H115" s="304"/>
      <c r="I115" s="304"/>
      <c r="J115" s="304"/>
      <c r="K115" s="304"/>
      <c r="L115" s="304"/>
      <c r="M115" s="304"/>
      <c r="N115" s="304"/>
      <c r="O115" s="304"/>
      <c r="P115" s="305"/>
      <c r="Q115" s="305"/>
      <c r="R115" s="305"/>
      <c r="S115" s="38"/>
      <c r="U115" s="706"/>
      <c r="V115" s="707"/>
      <c r="W115" s="707"/>
      <c r="X115" s="707"/>
      <c r="Y115" s="707"/>
      <c r="Z115" s="707"/>
      <c r="AA115" s="707"/>
      <c r="AB115" s="707"/>
      <c r="AC115" s="707"/>
      <c r="AD115" s="707"/>
      <c r="AE115" s="707"/>
      <c r="AF115" s="707"/>
      <c r="AG115" s="707"/>
      <c r="AH115" s="708"/>
    </row>
    <row r="116" spans="2:34" ht="17.399999999999999">
      <c r="B116" s="46"/>
      <c r="C116" s="307" t="s">
        <v>624</v>
      </c>
      <c r="D116" s="303"/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5"/>
      <c r="Q116" s="305"/>
      <c r="R116" s="305"/>
      <c r="S116" s="38"/>
      <c r="U116" s="706"/>
      <c r="V116" s="707"/>
      <c r="W116" s="707"/>
      <c r="X116" s="707"/>
      <c r="Y116" s="707"/>
      <c r="Z116" s="707"/>
      <c r="AA116" s="707"/>
      <c r="AB116" s="707"/>
      <c r="AC116" s="707"/>
      <c r="AD116" s="707"/>
      <c r="AE116" s="707"/>
      <c r="AF116" s="707"/>
      <c r="AG116" s="707"/>
      <c r="AH116" s="708"/>
    </row>
    <row r="117" spans="2:34" ht="17.399999999999999">
      <c r="B117" s="46"/>
      <c r="C117" s="303" t="s">
        <v>625</v>
      </c>
      <c r="D117" s="303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5"/>
      <c r="Q117" s="305"/>
      <c r="R117" s="305"/>
      <c r="S117" s="38"/>
      <c r="U117" s="706"/>
      <c r="V117" s="707"/>
      <c r="W117" s="707"/>
      <c r="X117" s="707"/>
      <c r="Y117" s="707"/>
      <c r="Z117" s="707"/>
      <c r="AA117" s="707"/>
      <c r="AB117" s="707"/>
      <c r="AC117" s="707"/>
      <c r="AD117" s="707"/>
      <c r="AE117" s="707"/>
      <c r="AF117" s="707"/>
      <c r="AG117" s="707"/>
      <c r="AH117" s="708"/>
    </row>
    <row r="118" spans="2:34" ht="17.399999999999999">
      <c r="B118" s="46"/>
      <c r="C118" s="303" t="s">
        <v>626</v>
      </c>
      <c r="D118" s="303"/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5"/>
      <c r="Q118" s="305"/>
      <c r="R118" s="305"/>
      <c r="S118" s="38"/>
      <c r="U118" s="706"/>
      <c r="V118" s="707"/>
      <c r="W118" s="707"/>
      <c r="X118" s="707"/>
      <c r="Y118" s="707"/>
      <c r="Z118" s="707"/>
      <c r="AA118" s="707"/>
      <c r="AB118" s="707"/>
      <c r="AC118" s="707"/>
      <c r="AD118" s="707"/>
      <c r="AE118" s="707"/>
      <c r="AF118" s="707"/>
      <c r="AG118" s="707"/>
      <c r="AH118" s="708"/>
    </row>
    <row r="119" spans="2:34" ht="17.399999999999999">
      <c r="B119" s="46"/>
      <c r="C119" s="303" t="s">
        <v>627</v>
      </c>
      <c r="D119" s="303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  <c r="O119" s="304"/>
      <c r="P119" s="305"/>
      <c r="Q119" s="305"/>
      <c r="R119" s="305"/>
      <c r="S119" s="38"/>
      <c r="U119" s="706"/>
      <c r="V119" s="707"/>
      <c r="W119" s="707"/>
      <c r="X119" s="707"/>
      <c r="Y119" s="707"/>
      <c r="Z119" s="707"/>
      <c r="AA119" s="707"/>
      <c r="AB119" s="707"/>
      <c r="AC119" s="707"/>
      <c r="AD119" s="707"/>
      <c r="AE119" s="707"/>
      <c r="AF119" s="707"/>
      <c r="AG119" s="707"/>
      <c r="AH119" s="708"/>
    </row>
    <row r="120" spans="2:34" ht="17.399999999999999">
      <c r="B120" s="46"/>
      <c r="C120" s="307" t="s">
        <v>628</v>
      </c>
      <c r="D120" s="303"/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5"/>
      <c r="Q120" s="305"/>
      <c r="R120" s="305"/>
      <c r="S120" s="38"/>
      <c r="U120" s="706"/>
      <c r="V120" s="707"/>
      <c r="W120" s="707"/>
      <c r="X120" s="707"/>
      <c r="Y120" s="707"/>
      <c r="Z120" s="707"/>
      <c r="AA120" s="707"/>
      <c r="AB120" s="707"/>
      <c r="AC120" s="707"/>
      <c r="AD120" s="707"/>
      <c r="AE120" s="707"/>
      <c r="AF120" s="707"/>
      <c r="AG120" s="707"/>
      <c r="AH120" s="708"/>
    </row>
    <row r="121" spans="2:34" ht="17.399999999999999">
      <c r="B121" s="46"/>
      <c r="C121" s="307" t="s">
        <v>629</v>
      </c>
      <c r="D121" s="303"/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5"/>
      <c r="Q121" s="305"/>
      <c r="R121" s="305"/>
      <c r="S121" s="38"/>
      <c r="U121" s="706"/>
      <c r="V121" s="707"/>
      <c r="W121" s="707"/>
      <c r="X121" s="707"/>
      <c r="Y121" s="707"/>
      <c r="Z121" s="707"/>
      <c r="AA121" s="707"/>
      <c r="AB121" s="707"/>
      <c r="AC121" s="707"/>
      <c r="AD121" s="707"/>
      <c r="AE121" s="707"/>
      <c r="AF121" s="707"/>
      <c r="AG121" s="707"/>
      <c r="AH121" s="708"/>
    </row>
    <row r="122" spans="2:34" ht="17.399999999999999">
      <c r="B122" s="46"/>
      <c r="C122" s="303" t="s">
        <v>630</v>
      </c>
      <c r="D122" s="303"/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5"/>
      <c r="Q122" s="305"/>
      <c r="R122" s="305"/>
      <c r="S122" s="38"/>
      <c r="U122" s="706"/>
      <c r="V122" s="707"/>
      <c r="W122" s="707"/>
      <c r="X122" s="707"/>
      <c r="Y122" s="707"/>
      <c r="Z122" s="707"/>
      <c r="AA122" s="707"/>
      <c r="AB122" s="707"/>
      <c r="AC122" s="707"/>
      <c r="AD122" s="707"/>
      <c r="AE122" s="707"/>
      <c r="AF122" s="707"/>
      <c r="AG122" s="707"/>
      <c r="AH122" s="708"/>
    </row>
    <row r="123" spans="2:34" ht="17.399999999999999">
      <c r="B123" s="46"/>
      <c r="C123" s="307" t="s">
        <v>631</v>
      </c>
      <c r="D123" s="303"/>
      <c r="E123" s="304"/>
      <c r="F123" s="304"/>
      <c r="G123" s="304"/>
      <c r="H123" s="304"/>
      <c r="I123" s="304"/>
      <c r="J123" s="304"/>
      <c r="K123" s="304"/>
      <c r="L123" s="304"/>
      <c r="M123" s="304"/>
      <c r="N123" s="304"/>
      <c r="O123" s="304"/>
      <c r="P123" s="305"/>
      <c r="Q123" s="305"/>
      <c r="R123" s="305"/>
      <c r="S123" s="38"/>
      <c r="U123" s="706"/>
      <c r="V123" s="707"/>
      <c r="W123" s="707"/>
      <c r="X123" s="707"/>
      <c r="Y123" s="707"/>
      <c r="Z123" s="707"/>
      <c r="AA123" s="707"/>
      <c r="AB123" s="707"/>
      <c r="AC123" s="707"/>
      <c r="AD123" s="707"/>
      <c r="AE123" s="707"/>
      <c r="AF123" s="707"/>
      <c r="AG123" s="707"/>
      <c r="AH123" s="708"/>
    </row>
    <row r="124" spans="2:34" s="315" customFormat="1" ht="17.399999999999999">
      <c r="B124" s="309"/>
      <c r="C124" s="310" t="s">
        <v>632</v>
      </c>
      <c r="D124" s="311"/>
      <c r="E124" s="312"/>
      <c r="F124" s="312"/>
      <c r="G124" s="312"/>
      <c r="H124" s="312"/>
      <c r="I124" s="312"/>
      <c r="J124" s="312"/>
      <c r="K124" s="312"/>
      <c r="L124" s="312"/>
      <c r="M124" s="312"/>
      <c r="N124" s="312"/>
      <c r="O124" s="312"/>
      <c r="P124" s="313"/>
      <c r="Q124" s="313"/>
      <c r="R124" s="313"/>
      <c r="S124" s="314"/>
      <c r="U124" s="706"/>
      <c r="V124" s="707"/>
      <c r="W124" s="707"/>
      <c r="X124" s="707"/>
      <c r="Y124" s="707"/>
      <c r="Z124" s="707"/>
      <c r="AA124" s="707"/>
      <c r="AB124" s="707"/>
      <c r="AC124" s="707"/>
      <c r="AD124" s="707"/>
      <c r="AE124" s="707"/>
      <c r="AF124" s="707"/>
      <c r="AG124" s="707"/>
      <c r="AH124" s="708"/>
    </row>
    <row r="125" spans="2:34" ht="17.399999999999999">
      <c r="B125" s="46"/>
      <c r="C125" s="303" t="s">
        <v>633</v>
      </c>
      <c r="D125" s="303"/>
      <c r="E125" s="304"/>
      <c r="F125" s="304"/>
      <c r="G125" s="304"/>
      <c r="H125" s="304"/>
      <c r="I125" s="304"/>
      <c r="J125" s="304"/>
      <c r="K125" s="304"/>
      <c r="L125" s="304"/>
      <c r="M125" s="304"/>
      <c r="N125" s="304"/>
      <c r="O125" s="304"/>
      <c r="P125" s="305"/>
      <c r="Q125" s="305"/>
      <c r="R125" s="305"/>
      <c r="S125" s="38"/>
      <c r="U125" s="706"/>
      <c r="V125" s="707"/>
      <c r="W125" s="707"/>
      <c r="X125" s="707"/>
      <c r="Y125" s="707"/>
      <c r="Z125" s="707"/>
      <c r="AA125" s="707"/>
      <c r="AB125" s="707"/>
      <c r="AC125" s="707"/>
      <c r="AD125" s="707"/>
      <c r="AE125" s="707"/>
      <c r="AF125" s="707"/>
      <c r="AG125" s="707"/>
      <c r="AH125" s="708"/>
    </row>
    <row r="126" spans="2:34" ht="17.399999999999999">
      <c r="B126" s="46"/>
      <c r="C126" s="307" t="s">
        <v>634</v>
      </c>
      <c r="D126" s="303"/>
      <c r="E126" s="304"/>
      <c r="F126" s="304"/>
      <c r="G126" s="304"/>
      <c r="H126" s="304"/>
      <c r="I126" s="304"/>
      <c r="J126" s="304"/>
      <c r="K126" s="304"/>
      <c r="L126" s="304"/>
      <c r="M126" s="304"/>
      <c r="N126" s="304"/>
      <c r="O126" s="304"/>
      <c r="P126" s="305"/>
      <c r="Q126" s="305"/>
      <c r="R126" s="305"/>
      <c r="S126" s="38"/>
      <c r="U126" s="706"/>
      <c r="V126" s="707"/>
      <c r="W126" s="707"/>
      <c r="X126" s="707"/>
      <c r="Y126" s="707"/>
      <c r="Z126" s="707"/>
      <c r="AA126" s="707"/>
      <c r="AB126" s="707"/>
      <c r="AC126" s="707"/>
      <c r="AD126" s="707"/>
      <c r="AE126" s="707"/>
      <c r="AF126" s="707"/>
      <c r="AG126" s="707"/>
      <c r="AH126" s="708"/>
    </row>
    <row r="127" spans="2:34" ht="17.399999999999999">
      <c r="B127" s="46"/>
      <c r="C127" s="303" t="s">
        <v>635</v>
      </c>
      <c r="D127" s="303"/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  <c r="O127" s="304"/>
      <c r="P127" s="305"/>
      <c r="Q127" s="305"/>
      <c r="R127" s="305"/>
      <c r="S127" s="38"/>
      <c r="U127" s="706"/>
      <c r="V127" s="707"/>
      <c r="W127" s="707"/>
      <c r="X127" s="707"/>
      <c r="Y127" s="707"/>
      <c r="Z127" s="707"/>
      <c r="AA127" s="707"/>
      <c r="AB127" s="707"/>
      <c r="AC127" s="707"/>
      <c r="AD127" s="707"/>
      <c r="AE127" s="707"/>
      <c r="AF127" s="707"/>
      <c r="AG127" s="707"/>
      <c r="AH127" s="708"/>
    </row>
    <row r="128" spans="2:34" ht="22.95" customHeight="1" thickBot="1">
      <c r="B128" s="49"/>
      <c r="C128" s="1154"/>
      <c r="D128" s="1154"/>
      <c r="E128" s="1154"/>
      <c r="F128" s="1154"/>
      <c r="G128" s="1154"/>
      <c r="H128" s="25"/>
      <c r="I128" s="25"/>
      <c r="J128" s="25"/>
      <c r="K128" s="25"/>
      <c r="L128" s="25"/>
      <c r="M128" s="25"/>
      <c r="N128" s="25"/>
      <c r="O128" s="25"/>
      <c r="P128" s="50"/>
      <c r="Q128" s="50"/>
      <c r="R128" s="50"/>
      <c r="S128" s="51"/>
      <c r="U128" s="715"/>
      <c r="V128" s="716"/>
      <c r="W128" s="716"/>
      <c r="X128" s="716"/>
      <c r="Y128" s="716"/>
      <c r="Z128" s="716"/>
      <c r="AA128" s="716"/>
      <c r="AB128" s="716"/>
      <c r="AC128" s="716"/>
      <c r="AD128" s="716"/>
      <c r="AE128" s="716"/>
      <c r="AF128" s="716"/>
      <c r="AG128" s="716"/>
      <c r="AH128" s="717"/>
    </row>
    <row r="129" spans="3:20" ht="22.95" customHeight="1">
      <c r="T129" s="31" t="s">
        <v>179</v>
      </c>
    </row>
    <row r="130" spans="3:20" ht="13.2">
      <c r="C130" s="52" t="s">
        <v>52</v>
      </c>
      <c r="P130" s="29" t="s">
        <v>636</v>
      </c>
      <c r="Q130" s="29"/>
      <c r="R130" s="29"/>
    </row>
    <row r="131" spans="3:20" ht="13.2">
      <c r="C131" s="52" t="s">
        <v>54</v>
      </c>
    </row>
    <row r="132" spans="3:20" ht="13.2">
      <c r="C132" s="52" t="s">
        <v>55</v>
      </c>
    </row>
    <row r="133" spans="3:20" ht="13.2">
      <c r="C133" s="52" t="s">
        <v>56</v>
      </c>
    </row>
    <row r="134" spans="3:20" ht="13.2">
      <c r="C134" s="52" t="s">
        <v>57</v>
      </c>
    </row>
    <row r="135" spans="3:20" ht="25.95" customHeight="1"/>
    <row r="136" spans="3:20" ht="25.95" customHeight="1">
      <c r="C136" s="610" t="s">
        <v>637</v>
      </c>
    </row>
    <row r="137" spans="3:20" ht="25.95" customHeight="1">
      <c r="C137" s="31" t="s">
        <v>52</v>
      </c>
    </row>
    <row r="138" spans="3:20" ht="25.95" customHeight="1">
      <c r="C138" s="31" t="s">
        <v>638</v>
      </c>
    </row>
    <row r="139" spans="3:20" ht="25.95" customHeight="1">
      <c r="C139" s="31" t="s">
        <v>639</v>
      </c>
    </row>
    <row r="140" spans="3:20" ht="25.95" customHeight="1">
      <c r="C140" s="31" t="s">
        <v>640</v>
      </c>
    </row>
    <row r="141" spans="3:20" ht="25.95" customHeight="1">
      <c r="C141" s="31" t="s">
        <v>601</v>
      </c>
    </row>
  </sheetData>
  <sheetProtection algorithmName="SHA-512" hashValue="44DS/zKwrZHmaJflf+Au/CBxU/3+cJMskUJJCVS6VUjudex4UNzHFuK1JtguTh6zJ4EtAqxi790Y3FKcY1Zp7Q==" saltValue="oWwpLYV9xa0zJJyDs6mG2g==" spinCount="100000" sheet="1" insertRows="0"/>
  <mergeCells count="43">
    <mergeCell ref="W80:X81"/>
    <mergeCell ref="E95:F95"/>
    <mergeCell ref="E96:F96"/>
    <mergeCell ref="E94:F94"/>
    <mergeCell ref="Q6:Q7"/>
    <mergeCell ref="E15:F15"/>
    <mergeCell ref="V9:W9"/>
    <mergeCell ref="V11:AG11"/>
    <mergeCell ref="I51:J51"/>
    <mergeCell ref="E51:F51"/>
    <mergeCell ref="W15:X16"/>
    <mergeCell ref="W50:X51"/>
    <mergeCell ref="C128:G128"/>
    <mergeCell ref="C52:D52"/>
    <mergeCell ref="C81:D81"/>
    <mergeCell ref="G81:H81"/>
    <mergeCell ref="I81:J81"/>
    <mergeCell ref="C82:D82"/>
    <mergeCell ref="C73:F73"/>
    <mergeCell ref="E82:F82"/>
    <mergeCell ref="E81:F81"/>
    <mergeCell ref="C88:F88"/>
    <mergeCell ref="E92:F92"/>
    <mergeCell ref="C92:D92"/>
    <mergeCell ref="C97:F97"/>
    <mergeCell ref="E93:F93"/>
    <mergeCell ref="E52:F52"/>
    <mergeCell ref="C51:D51"/>
    <mergeCell ref="C16:D16"/>
    <mergeCell ref="C12:D12"/>
    <mergeCell ref="C15:D15"/>
    <mergeCell ref="D9:Q9"/>
    <mergeCell ref="G15:L15"/>
    <mergeCell ref="M15:N15"/>
    <mergeCell ref="M16:N16"/>
    <mergeCell ref="K16:L16"/>
    <mergeCell ref="H16:I16"/>
    <mergeCell ref="C17:D17"/>
    <mergeCell ref="E16:F17"/>
    <mergeCell ref="C41:F41"/>
    <mergeCell ref="C44:F44"/>
    <mergeCell ref="C43:F43"/>
    <mergeCell ref="G51:H51"/>
  </mergeCells>
  <phoneticPr fontId="16" type="noConversion"/>
  <dataValidations count="2">
    <dataValidation type="list" allowBlank="1" showInputMessage="1" showErrorMessage="1" sqref="E83:E87 E21:E40 E60:E72" xr:uid="{00000000-0002-0000-0B00-000000000000}">
      <formula1>$C$137:$C$140</formula1>
    </dataValidation>
    <dataValidation type="list" allowBlank="1" showInputMessage="1" showErrorMessage="1" sqref="E53:E59" xr:uid="{00000000-0002-0000-0B00-000001000000}">
      <formula1>$C$137:$C$141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2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AI87"/>
  <sheetViews>
    <sheetView topLeftCell="A27" zoomScale="70" zoomScaleNormal="70" zoomScalePageLayoutView="125" workbookViewId="0">
      <selection activeCell="E43" sqref="E43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26.54296875" style="31" customWidth="1"/>
    <col min="5" max="6" width="13.453125" style="32" customWidth="1"/>
    <col min="7" max="7" width="20" style="32" customWidth="1"/>
    <col min="8" max="8" width="13.453125" style="32" customWidth="1"/>
    <col min="9" max="9" width="15.81640625" style="32" customWidth="1"/>
    <col min="10" max="10" width="17.453125" style="32" customWidth="1"/>
    <col min="11" max="12" width="18.54296875" style="32" customWidth="1"/>
    <col min="13" max="13" width="16.54296875" style="32" customWidth="1"/>
    <col min="14" max="16" width="15.81640625" style="32" customWidth="1"/>
    <col min="17" max="17" width="3.453125" style="31" customWidth="1"/>
    <col min="18" max="18" width="10.54296875" style="31"/>
    <col min="19" max="19" width="11.1796875" style="31" bestFit="1" customWidth="1"/>
    <col min="20" max="16384" width="10.54296875" style="31"/>
  </cols>
  <sheetData>
    <row r="2" spans="1:32" ht="22.95" customHeight="1">
      <c r="D2" s="318" t="str">
        <f>_GENERAL!D2</f>
        <v>Área de la Presidenta: Igualdad y Diversidad, Hacienda y Proyectos Estratégicos</v>
      </c>
    </row>
    <row r="3" spans="1:32" ht="22.95" customHeight="1">
      <c r="D3" s="318" t="str">
        <f>_GENERAL!D3</f>
        <v>Dirección Insular de Hacienda</v>
      </c>
    </row>
    <row r="4" spans="1:32" ht="22.95" customHeight="1" thickBot="1">
      <c r="A4" s="31" t="s">
        <v>129</v>
      </c>
    </row>
    <row r="5" spans="1:32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6"/>
      <c r="S5" s="700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2"/>
    </row>
    <row r="6" spans="1:32" ht="30" customHeight="1">
      <c r="B6" s="37"/>
      <c r="C6" s="28" t="s">
        <v>2</v>
      </c>
      <c r="P6" s="1138">
        <f>ejercicio</f>
        <v>2025</v>
      </c>
      <c r="Q6" s="38"/>
      <c r="S6" s="163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6"/>
    </row>
    <row r="7" spans="1:32" ht="30" customHeight="1">
      <c r="B7" s="37"/>
      <c r="C7" s="28" t="s">
        <v>3</v>
      </c>
      <c r="P7" s="1138"/>
      <c r="Q7" s="38"/>
      <c r="S7" s="167"/>
      <c r="T7" s="164" t="s">
        <v>130</v>
      </c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9"/>
    </row>
    <row r="8" spans="1:32" ht="30" customHeight="1">
      <c r="B8" s="37"/>
      <c r="C8" s="39"/>
      <c r="Q8" s="38"/>
      <c r="S8" s="732"/>
      <c r="T8" s="733"/>
      <c r="U8" s="733"/>
      <c r="V8" s="733"/>
      <c r="W8" s="733"/>
      <c r="X8" s="733"/>
      <c r="Y8" s="733"/>
      <c r="Z8" s="733"/>
      <c r="AA8" s="733"/>
      <c r="AB8" s="733"/>
      <c r="AC8" s="733"/>
      <c r="AD8" s="733"/>
      <c r="AE8" s="733"/>
      <c r="AF8" s="734"/>
    </row>
    <row r="9" spans="1:32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1155"/>
      <c r="Q9" s="825"/>
      <c r="R9" s="892"/>
      <c r="S9" s="732"/>
      <c r="T9" s="733"/>
      <c r="U9" s="733"/>
      <c r="V9" s="733"/>
      <c r="W9" s="733"/>
      <c r="X9" s="733"/>
      <c r="Y9" s="733"/>
      <c r="Z9" s="733"/>
      <c r="AA9" s="733"/>
      <c r="AB9" s="733"/>
      <c r="AC9" s="733"/>
      <c r="AD9" s="733"/>
      <c r="AE9" s="733"/>
      <c r="AF9" s="734"/>
    </row>
    <row r="10" spans="1:32" ht="7.2" customHeight="1">
      <c r="B10" s="37"/>
      <c r="Q10" s="38"/>
      <c r="S10" s="732"/>
      <c r="T10" s="733"/>
      <c r="U10" s="733"/>
      <c r="V10" s="733"/>
      <c r="W10" s="733"/>
      <c r="X10" s="733"/>
      <c r="Y10" s="733"/>
      <c r="Z10" s="733"/>
      <c r="AA10" s="733"/>
      <c r="AB10" s="733"/>
      <c r="AC10" s="733"/>
      <c r="AD10" s="733"/>
      <c r="AE10" s="733"/>
      <c r="AF10" s="734"/>
    </row>
    <row r="11" spans="1:32" s="45" customFormat="1" ht="30" customHeight="1">
      <c r="B11" s="41"/>
      <c r="C11" s="42" t="s">
        <v>641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4"/>
      <c r="S11" s="732"/>
      <c r="T11" s="733"/>
      <c r="U11" s="733"/>
      <c r="V11" s="733"/>
      <c r="W11" s="733"/>
      <c r="X11" s="733"/>
      <c r="Y11" s="733"/>
      <c r="Z11" s="733"/>
      <c r="AA11" s="733"/>
      <c r="AB11" s="733"/>
      <c r="AC11" s="733"/>
      <c r="AD11" s="733"/>
      <c r="AE11" s="733"/>
      <c r="AF11" s="734"/>
    </row>
    <row r="12" spans="1:32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44"/>
      <c r="S12" s="732"/>
      <c r="T12" s="733"/>
      <c r="U12" s="733"/>
      <c r="V12" s="733"/>
      <c r="W12" s="733"/>
      <c r="X12" s="733"/>
      <c r="Y12" s="733"/>
      <c r="Z12" s="733"/>
      <c r="AA12" s="733"/>
      <c r="AB12" s="733"/>
      <c r="AC12" s="733"/>
      <c r="AD12" s="733"/>
      <c r="AE12" s="733"/>
      <c r="AF12" s="734"/>
    </row>
    <row r="13" spans="1:32" ht="28.95" customHeight="1">
      <c r="B13" s="46"/>
      <c r="C13" s="27" t="s">
        <v>642</v>
      </c>
      <c r="D13" s="571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8"/>
      <c r="S13" s="732"/>
      <c r="T13" s="733"/>
      <c r="U13" s="733"/>
      <c r="V13" s="733"/>
      <c r="W13" s="733"/>
      <c r="X13" s="733"/>
      <c r="Y13" s="733"/>
      <c r="Z13" s="733"/>
      <c r="AA13" s="733"/>
      <c r="AB13" s="733"/>
      <c r="AC13" s="733"/>
      <c r="AD13" s="733"/>
      <c r="AE13" s="733"/>
      <c r="AF13" s="734"/>
    </row>
    <row r="14" spans="1:32" ht="22.2" customHeight="1">
      <c r="B14" s="46"/>
      <c r="C14" s="31" t="s">
        <v>643</v>
      </c>
      <c r="D14" s="571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8"/>
      <c r="S14" s="732"/>
      <c r="T14" s="733"/>
      <c r="U14" s="733"/>
      <c r="V14" s="733"/>
      <c r="W14" s="733"/>
      <c r="X14" s="733"/>
      <c r="Y14" s="733"/>
      <c r="Z14" s="733"/>
      <c r="AA14" s="733"/>
      <c r="AB14" s="733"/>
      <c r="AC14" s="733"/>
      <c r="AD14" s="733"/>
      <c r="AE14" s="733"/>
      <c r="AF14" s="734"/>
    </row>
    <row r="15" spans="1:32" ht="22.2" customHeight="1">
      <c r="B15" s="46"/>
      <c r="C15" s="571"/>
      <c r="D15" s="571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8"/>
      <c r="S15" s="732"/>
      <c r="T15" s="733"/>
      <c r="U15" s="733"/>
      <c r="V15" s="733"/>
      <c r="W15" s="733"/>
      <c r="X15" s="733"/>
      <c r="Y15" s="733"/>
      <c r="Z15" s="733"/>
      <c r="AA15" s="733"/>
      <c r="AB15" s="733"/>
      <c r="AC15" s="733"/>
      <c r="AD15" s="733"/>
      <c r="AE15" s="733"/>
      <c r="AF15" s="734"/>
    </row>
    <row r="16" spans="1:32" ht="22.2" customHeight="1">
      <c r="B16" s="46"/>
      <c r="C16" s="265" t="str">
        <f>"A) APORTACIONES PLURIANUALES COMPROMETIDAS PARA EL EJERCICIO "&amp;ejercicio+1&amp;" Y/O LOS EJERCICIOS SIGUIENTES"</f>
        <v>A) APORTACIONES PLURIANUALES COMPROMETIDAS PARA EL EJERCICIO 2026 Y/O LOS EJERCICIOS SIGUIENTES</v>
      </c>
      <c r="D16" s="571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8"/>
      <c r="S16" s="732"/>
      <c r="T16" s="733"/>
      <c r="U16" s="733"/>
      <c r="V16" s="733"/>
      <c r="W16" s="733"/>
      <c r="X16" s="733"/>
      <c r="Y16" s="733"/>
      <c r="Z16" s="733"/>
      <c r="AA16" s="733"/>
      <c r="AB16" s="733"/>
      <c r="AC16" s="733"/>
      <c r="AD16" s="733"/>
      <c r="AE16" s="733"/>
      <c r="AF16" s="734"/>
    </row>
    <row r="17" spans="2:32" ht="22.2" customHeight="1">
      <c r="B17" s="46"/>
      <c r="C17" s="848" t="s">
        <v>644</v>
      </c>
      <c r="D17" s="1125" t="s">
        <v>645</v>
      </c>
      <c r="E17" s="848" t="s">
        <v>646</v>
      </c>
      <c r="F17" s="848" t="s">
        <v>647</v>
      </c>
      <c r="G17" s="1258" t="s">
        <v>648</v>
      </c>
      <c r="H17" s="1259"/>
      <c r="I17" s="848" t="s">
        <v>649</v>
      </c>
      <c r="J17" s="848" t="s">
        <v>650</v>
      </c>
      <c r="K17" s="848" t="s">
        <v>651</v>
      </c>
      <c r="L17" s="848" t="s">
        <v>652</v>
      </c>
      <c r="M17" s="848"/>
      <c r="N17" s="848" t="s">
        <v>653</v>
      </c>
      <c r="O17" s="1258" t="s">
        <v>654</v>
      </c>
      <c r="P17" s="1259"/>
      <c r="Q17" s="38"/>
      <c r="S17" s="732"/>
      <c r="T17" s="733"/>
      <c r="U17" s="733"/>
      <c r="V17" s="733"/>
      <c r="W17" s="733"/>
      <c r="X17" s="733"/>
      <c r="Y17" s="733"/>
      <c r="Z17" s="733"/>
      <c r="AA17" s="733"/>
      <c r="AB17" s="733"/>
      <c r="AC17" s="733"/>
      <c r="AD17" s="733"/>
      <c r="AE17" s="733"/>
      <c r="AF17" s="734"/>
    </row>
    <row r="18" spans="2:32" ht="22.2" customHeight="1">
      <c r="B18" s="46"/>
      <c r="C18" s="1126" t="s">
        <v>655</v>
      </c>
      <c r="D18" s="1127" t="s">
        <v>656</v>
      </c>
      <c r="E18" s="1126" t="s">
        <v>657</v>
      </c>
      <c r="F18" s="1126" t="s">
        <v>658</v>
      </c>
      <c r="G18" s="1260" t="s">
        <v>659</v>
      </c>
      <c r="H18" s="1261"/>
      <c r="I18" s="1126" t="s">
        <v>660</v>
      </c>
      <c r="J18" s="1126">
        <f>ejercicio-1</f>
        <v>2024</v>
      </c>
      <c r="K18" s="1126">
        <f>ejercicio</f>
        <v>2025</v>
      </c>
      <c r="L18" s="1126">
        <f>ejercicio</f>
        <v>2025</v>
      </c>
      <c r="M18" s="1126"/>
      <c r="N18" s="1126">
        <f>ejercicio</f>
        <v>2025</v>
      </c>
      <c r="O18" s="1128" t="s">
        <v>661</v>
      </c>
      <c r="P18" s="1129" t="s">
        <v>662</v>
      </c>
      <c r="Q18" s="38"/>
      <c r="S18" s="732"/>
      <c r="T18" s="733"/>
      <c r="U18" s="733"/>
      <c r="V18" s="733"/>
      <c r="W18" s="733"/>
      <c r="X18" s="733"/>
      <c r="Y18" s="733"/>
      <c r="Z18" s="733"/>
      <c r="AA18" s="733"/>
      <c r="AB18" s="733"/>
      <c r="AC18" s="733"/>
      <c r="AD18" s="733"/>
      <c r="AE18" s="733"/>
      <c r="AF18" s="734"/>
    </row>
    <row r="19" spans="2:32" ht="22.2" customHeight="1">
      <c r="B19" s="46"/>
      <c r="C19" s="640"/>
      <c r="D19" s="1130"/>
      <c r="E19" s="770"/>
      <c r="F19" s="1031"/>
      <c r="G19" s="1262"/>
      <c r="H19" s="1263"/>
      <c r="I19" s="357"/>
      <c r="J19" s="357"/>
      <c r="K19" s="642"/>
      <c r="L19" s="642"/>
      <c r="M19" s="1131"/>
      <c r="N19" s="351">
        <f>J19+K19+L19+M19</f>
        <v>0</v>
      </c>
      <c r="O19" s="644"/>
      <c r="P19" s="645"/>
      <c r="Q19" s="38"/>
      <c r="S19" s="732"/>
      <c r="T19" s="733"/>
      <c r="U19" s="733"/>
      <c r="V19" s="733"/>
      <c r="W19" s="733"/>
      <c r="X19" s="733"/>
      <c r="Y19" s="733"/>
      <c r="Z19" s="733"/>
      <c r="AA19" s="733"/>
      <c r="AB19" s="733"/>
      <c r="AC19" s="733"/>
      <c r="AD19" s="733"/>
      <c r="AE19" s="733"/>
      <c r="AF19" s="734"/>
    </row>
    <row r="20" spans="2:32" ht="22.2" customHeight="1">
      <c r="B20" s="46"/>
      <c r="C20" s="640"/>
      <c r="D20" s="337"/>
      <c r="E20" s="770"/>
      <c r="F20" s="1031"/>
      <c r="G20" s="1210"/>
      <c r="H20" s="1211"/>
      <c r="I20" s="357"/>
      <c r="J20" s="357"/>
      <c r="K20" s="357"/>
      <c r="L20" s="357"/>
      <c r="M20" s="1132"/>
      <c r="N20" s="351">
        <f t="shared" ref="N20:N28" si="0">J20+K20+L20+M20</f>
        <v>0</v>
      </c>
      <c r="O20" s="644"/>
      <c r="P20" s="1133"/>
      <c r="Q20" s="38"/>
      <c r="S20" s="732"/>
      <c r="T20" s="733"/>
      <c r="U20" s="733"/>
      <c r="V20" s="733"/>
      <c r="W20" s="733"/>
      <c r="X20" s="733"/>
      <c r="Y20" s="733"/>
      <c r="Z20" s="733"/>
      <c r="AA20" s="733"/>
      <c r="AB20" s="733"/>
      <c r="AC20" s="733"/>
      <c r="AD20" s="733"/>
      <c r="AE20" s="733"/>
      <c r="AF20" s="734"/>
    </row>
    <row r="21" spans="2:32" ht="22.2" customHeight="1">
      <c r="B21" s="46"/>
      <c r="C21" s="640"/>
      <c r="D21" s="337"/>
      <c r="E21" s="770"/>
      <c r="F21" s="1031"/>
      <c r="G21" s="1210"/>
      <c r="H21" s="1211"/>
      <c r="I21" s="357"/>
      <c r="J21" s="357"/>
      <c r="K21" s="357"/>
      <c r="L21" s="357"/>
      <c r="M21" s="1132"/>
      <c r="N21" s="351">
        <f t="shared" si="0"/>
        <v>0</v>
      </c>
      <c r="O21" s="644"/>
      <c r="P21" s="1133"/>
      <c r="Q21" s="38"/>
      <c r="S21" s="732"/>
      <c r="T21" s="733"/>
      <c r="U21" s="733"/>
      <c r="V21" s="733"/>
      <c r="W21" s="733"/>
      <c r="X21" s="733"/>
      <c r="Y21" s="733"/>
      <c r="Z21" s="733"/>
      <c r="AA21" s="733"/>
      <c r="AB21" s="733"/>
      <c r="AC21" s="733"/>
      <c r="AD21" s="733"/>
      <c r="AE21" s="733"/>
      <c r="AF21" s="734"/>
    </row>
    <row r="22" spans="2:32" ht="22.2" customHeight="1">
      <c r="B22" s="46"/>
      <c r="C22" s="640"/>
      <c r="D22" s="337"/>
      <c r="E22" s="770"/>
      <c r="F22" s="1031"/>
      <c r="G22" s="1210"/>
      <c r="H22" s="1211"/>
      <c r="I22" s="357"/>
      <c r="J22" s="357"/>
      <c r="K22" s="357"/>
      <c r="L22" s="357"/>
      <c r="M22" s="1132"/>
      <c r="N22" s="351">
        <f t="shared" si="0"/>
        <v>0</v>
      </c>
      <c r="O22" s="644"/>
      <c r="P22" s="1133"/>
      <c r="Q22" s="38"/>
      <c r="S22" s="732"/>
      <c r="T22" s="733"/>
      <c r="U22" s="733"/>
      <c r="V22" s="733"/>
      <c r="W22" s="733"/>
      <c r="X22" s="733"/>
      <c r="Y22" s="733"/>
      <c r="Z22" s="733"/>
      <c r="AA22" s="733"/>
      <c r="AB22" s="733"/>
      <c r="AC22" s="733"/>
      <c r="AD22" s="733"/>
      <c r="AE22" s="733"/>
      <c r="AF22" s="734"/>
    </row>
    <row r="23" spans="2:32" ht="22.2" customHeight="1">
      <c r="B23" s="46"/>
      <c r="C23" s="640"/>
      <c r="D23" s="337"/>
      <c r="E23" s="770"/>
      <c r="F23" s="641"/>
      <c r="G23" s="1210"/>
      <c r="H23" s="1211"/>
      <c r="I23" s="357"/>
      <c r="J23" s="357"/>
      <c r="K23" s="602"/>
      <c r="L23" s="357"/>
      <c r="M23" s="1132"/>
      <c r="N23" s="351">
        <f t="shared" si="0"/>
        <v>0</v>
      </c>
      <c r="O23" s="646"/>
      <c r="P23" s="647"/>
      <c r="Q23" s="38"/>
      <c r="S23" s="732"/>
      <c r="T23" s="733"/>
      <c r="U23" s="733"/>
      <c r="V23" s="733"/>
      <c r="W23" s="733"/>
      <c r="X23" s="733"/>
      <c r="Y23" s="733"/>
      <c r="Z23" s="733"/>
      <c r="AA23" s="733"/>
      <c r="AB23" s="733"/>
      <c r="AC23" s="733"/>
      <c r="AD23" s="733"/>
      <c r="AE23" s="733"/>
      <c r="AF23" s="734"/>
    </row>
    <row r="24" spans="2:32" ht="22.2" customHeight="1">
      <c r="B24" s="46"/>
      <c r="C24" s="640"/>
      <c r="D24" s="337"/>
      <c r="E24" s="770"/>
      <c r="F24" s="641"/>
      <c r="G24" s="1210"/>
      <c r="H24" s="1211"/>
      <c r="I24" s="357"/>
      <c r="J24" s="357"/>
      <c r="K24" s="602"/>
      <c r="L24" s="357"/>
      <c r="M24" s="1132"/>
      <c r="N24" s="351">
        <f t="shared" si="0"/>
        <v>0</v>
      </c>
      <c r="O24" s="646"/>
      <c r="P24" s="647"/>
      <c r="Q24" s="38"/>
      <c r="S24" s="732"/>
      <c r="T24" s="733"/>
      <c r="U24" s="733"/>
      <c r="V24" s="733"/>
      <c r="W24" s="733"/>
      <c r="X24" s="733"/>
      <c r="Y24" s="733"/>
      <c r="Z24" s="733"/>
      <c r="AA24" s="733"/>
      <c r="AB24" s="733"/>
      <c r="AC24" s="733"/>
      <c r="AD24" s="733"/>
      <c r="AE24" s="733"/>
      <c r="AF24" s="734"/>
    </row>
    <row r="25" spans="2:32" ht="22.2" customHeight="1">
      <c r="B25" s="46"/>
      <c r="C25" s="640"/>
      <c r="D25" s="337"/>
      <c r="E25" s="770"/>
      <c r="F25" s="641"/>
      <c r="G25" s="1210"/>
      <c r="H25" s="1211"/>
      <c r="I25" s="357"/>
      <c r="J25" s="357"/>
      <c r="K25" s="602"/>
      <c r="L25" s="357"/>
      <c r="M25" s="1132"/>
      <c r="N25" s="351">
        <f t="shared" si="0"/>
        <v>0</v>
      </c>
      <c r="O25" s="646"/>
      <c r="P25" s="647"/>
      <c r="Q25" s="38"/>
      <c r="S25" s="732"/>
      <c r="T25" s="733"/>
      <c r="U25" s="733"/>
      <c r="V25" s="733"/>
      <c r="W25" s="733"/>
      <c r="X25" s="733"/>
      <c r="Y25" s="733"/>
      <c r="Z25" s="733"/>
      <c r="AA25" s="733"/>
      <c r="AB25" s="733"/>
      <c r="AC25" s="733"/>
      <c r="AD25" s="733"/>
      <c r="AE25" s="733"/>
      <c r="AF25" s="734"/>
    </row>
    <row r="26" spans="2:32" ht="22.2" customHeight="1">
      <c r="B26" s="46"/>
      <c r="C26" s="640"/>
      <c r="D26" s="337"/>
      <c r="E26" s="770"/>
      <c r="F26" s="641"/>
      <c r="G26" s="1210"/>
      <c r="H26" s="1211"/>
      <c r="I26" s="357"/>
      <c r="J26" s="357"/>
      <c r="K26" s="602"/>
      <c r="L26" s="357"/>
      <c r="M26" s="1132"/>
      <c r="N26" s="351">
        <f t="shared" si="0"/>
        <v>0</v>
      </c>
      <c r="O26" s="646"/>
      <c r="P26" s="647"/>
      <c r="Q26" s="38"/>
      <c r="S26" s="732"/>
      <c r="T26" s="733"/>
      <c r="U26" s="733"/>
      <c r="V26" s="733"/>
      <c r="W26" s="733"/>
      <c r="X26" s="733"/>
      <c r="Y26" s="733"/>
      <c r="Z26" s="733"/>
      <c r="AA26" s="733"/>
      <c r="AB26" s="733"/>
      <c r="AC26" s="733"/>
      <c r="AD26" s="733"/>
      <c r="AE26" s="733"/>
      <c r="AF26" s="734"/>
    </row>
    <row r="27" spans="2:32" ht="22.2" customHeight="1">
      <c r="B27" s="46"/>
      <c r="C27" s="640"/>
      <c r="D27" s="337"/>
      <c r="E27" s="770"/>
      <c r="F27" s="641"/>
      <c r="G27" s="1210"/>
      <c r="H27" s="1211"/>
      <c r="I27" s="357"/>
      <c r="J27" s="357"/>
      <c r="K27" s="602"/>
      <c r="L27" s="357"/>
      <c r="M27" s="1132"/>
      <c r="N27" s="351">
        <f t="shared" si="0"/>
        <v>0</v>
      </c>
      <c r="O27" s="646"/>
      <c r="P27" s="647"/>
      <c r="Q27" s="38"/>
      <c r="S27" s="732"/>
      <c r="T27" s="733"/>
      <c r="U27" s="733"/>
      <c r="V27" s="733"/>
      <c r="W27" s="733"/>
      <c r="X27" s="733"/>
      <c r="Y27" s="733"/>
      <c r="Z27" s="733"/>
      <c r="AA27" s="733"/>
      <c r="AB27" s="733"/>
      <c r="AC27" s="733"/>
      <c r="AD27" s="733"/>
      <c r="AE27" s="733"/>
      <c r="AF27" s="734"/>
    </row>
    <row r="28" spans="2:32" ht="22.2" customHeight="1">
      <c r="B28" s="46"/>
      <c r="C28" s="640"/>
      <c r="D28" s="337"/>
      <c r="E28" s="770"/>
      <c r="F28" s="641"/>
      <c r="G28" s="1212"/>
      <c r="H28" s="1213"/>
      <c r="I28" s="357"/>
      <c r="J28" s="357"/>
      <c r="K28" s="602"/>
      <c r="L28" s="357"/>
      <c r="M28" s="1132"/>
      <c r="N28" s="351">
        <f t="shared" si="0"/>
        <v>0</v>
      </c>
      <c r="O28" s="646"/>
      <c r="P28" s="647"/>
      <c r="Q28" s="38"/>
      <c r="S28" s="732"/>
      <c r="T28" s="733"/>
      <c r="U28" s="733"/>
      <c r="V28" s="733"/>
      <c r="W28" s="733"/>
      <c r="X28" s="733"/>
      <c r="Y28" s="733"/>
      <c r="Z28" s="733"/>
      <c r="AA28" s="733"/>
      <c r="AB28" s="733"/>
      <c r="AC28" s="733"/>
      <c r="AD28" s="733"/>
      <c r="AE28" s="733"/>
      <c r="AF28" s="734"/>
    </row>
    <row r="29" spans="2:32" ht="22.2" customHeight="1" thickBot="1">
      <c r="B29" s="46"/>
      <c r="C29" s="1248" t="str">
        <f>"SUBTOTAL APORTACIONES PLURIANUALES COMPROMETIDAS EJERCICIO "&amp;ejercicio+1&amp;" Y SIGUIENTES"</f>
        <v>SUBTOTAL APORTACIONES PLURIANUALES COMPROMETIDAS EJERCICIO 2026 Y SIGUIENTES</v>
      </c>
      <c r="D29" s="1249"/>
      <c r="E29" s="1249"/>
      <c r="F29" s="1249"/>
      <c r="G29" s="1249"/>
      <c r="H29" s="73"/>
      <c r="I29" s="105">
        <f>SUM(I19:I28)</f>
        <v>0</v>
      </c>
      <c r="J29" s="105">
        <f>SUM(J19:J28)</f>
        <v>0</v>
      </c>
      <c r="K29" s="105">
        <f>SUM(K19:K28)</f>
        <v>0</v>
      </c>
      <c r="L29" s="105">
        <f>SUM(L19:L28)</f>
        <v>0</v>
      </c>
      <c r="M29" s="1134"/>
      <c r="N29" s="352">
        <f>SUM(N19:N28)</f>
        <v>0</v>
      </c>
      <c r="O29" s="105">
        <f>SUM(O19:O28)</f>
        <v>0</v>
      </c>
      <c r="P29" s="69">
        <f>SUM(P19:P28)</f>
        <v>0</v>
      </c>
      <c r="Q29" s="38"/>
      <c r="S29" s="732"/>
      <c r="T29" s="733"/>
      <c r="U29" s="733"/>
      <c r="V29" s="733"/>
      <c r="W29" s="733"/>
      <c r="X29" s="733"/>
      <c r="Y29" s="733"/>
      <c r="Z29" s="733"/>
      <c r="AA29" s="733"/>
      <c r="AB29" s="733"/>
      <c r="AC29" s="733"/>
      <c r="AD29" s="733"/>
      <c r="AE29" s="733"/>
      <c r="AF29" s="734"/>
    </row>
    <row r="30" spans="2:32" ht="22.2" customHeight="1">
      <c r="B30" s="46"/>
      <c r="C30" s="571"/>
      <c r="D30" s="571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8"/>
      <c r="S30" s="732"/>
      <c r="T30" s="733"/>
      <c r="U30" s="733"/>
      <c r="V30" s="733"/>
      <c r="W30" s="733"/>
      <c r="X30" s="733"/>
      <c r="Y30" s="733"/>
      <c r="Z30" s="733"/>
      <c r="AA30" s="733"/>
      <c r="AB30" s="733"/>
      <c r="AC30" s="733"/>
      <c r="AD30" s="733"/>
      <c r="AE30" s="733"/>
      <c r="AF30" s="734"/>
    </row>
    <row r="31" spans="2:32" ht="22.2" customHeight="1">
      <c r="B31" s="46"/>
      <c r="C31" s="265" t="str">
        <f>"B) APORTACIONES / SUBVENCIONES CUYA OBLIGACIÓN ES RECONOCIDA POR LA ENTIDAD OTORGANTE EN EL EJERCICIO  "&amp;ejercicio&amp;" Y/O EN LOS EJERCICIOS ANTERIORES"</f>
        <v>B) APORTACIONES / SUBVENCIONES CUYA OBLIGACIÓN ES RECONOCIDA POR LA ENTIDAD OTORGANTE EN EL EJERCICIO  2025 Y/O EN LOS EJERCICIOS ANTERIORES</v>
      </c>
      <c r="D31" s="571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8"/>
      <c r="S31" s="732"/>
      <c r="T31" s="733"/>
      <c r="U31" s="733"/>
      <c r="V31" s="733"/>
      <c r="W31" s="733"/>
      <c r="X31" s="733"/>
      <c r="Y31" s="733"/>
      <c r="Z31" s="733"/>
      <c r="AA31" s="733"/>
      <c r="AB31" s="733"/>
      <c r="AC31" s="733"/>
      <c r="AD31" s="733"/>
      <c r="AE31" s="733"/>
      <c r="AF31" s="734"/>
    </row>
    <row r="32" spans="2:32" ht="42" customHeight="1">
      <c r="B32" s="46"/>
      <c r="C32" s="83" t="s">
        <v>644</v>
      </c>
      <c r="D32" s="111" t="s">
        <v>645</v>
      </c>
      <c r="E32" s="83" t="s">
        <v>663</v>
      </c>
      <c r="F32" s="83" t="s">
        <v>647</v>
      </c>
      <c r="G32" s="83" t="s">
        <v>648</v>
      </c>
      <c r="H32" s="83" t="s">
        <v>664</v>
      </c>
      <c r="I32" s="83" t="s">
        <v>649</v>
      </c>
      <c r="J32" s="348" t="s">
        <v>650</v>
      </c>
      <c r="K32" s="848" t="s">
        <v>665</v>
      </c>
      <c r="L32" s="848" t="s">
        <v>666</v>
      </c>
      <c r="M32" s="848" t="s">
        <v>667</v>
      </c>
      <c r="N32" s="83" t="s">
        <v>653</v>
      </c>
      <c r="O32" s="1218" t="s">
        <v>668</v>
      </c>
      <c r="P32" s="1219"/>
      <c r="Q32" s="38"/>
      <c r="S32" s="732"/>
      <c r="T32" s="733"/>
      <c r="U32" s="733"/>
      <c r="V32" s="733"/>
      <c r="W32" s="733"/>
      <c r="X32" s="733"/>
      <c r="Y32" s="733"/>
      <c r="Z32" s="733"/>
      <c r="AA32" s="733"/>
      <c r="AB32" s="733"/>
      <c r="AC32" s="733"/>
      <c r="AD32" s="733"/>
      <c r="AE32" s="733"/>
      <c r="AF32" s="734"/>
    </row>
    <row r="33" spans="2:35" ht="22.95" customHeight="1">
      <c r="B33" s="46"/>
      <c r="C33" s="115" t="s">
        <v>655</v>
      </c>
      <c r="D33" s="116" t="s">
        <v>656</v>
      </c>
      <c r="E33" s="115" t="s">
        <v>669</v>
      </c>
      <c r="F33" s="115" t="s">
        <v>658</v>
      </c>
      <c r="G33" s="115" t="s">
        <v>659</v>
      </c>
      <c r="H33" s="115" t="s">
        <v>670</v>
      </c>
      <c r="I33" s="115" t="s">
        <v>671</v>
      </c>
      <c r="J33" s="115">
        <f>ejercicio-1</f>
        <v>2024</v>
      </c>
      <c r="K33" s="115">
        <f>ejercicio</f>
        <v>2025</v>
      </c>
      <c r="L33" s="115">
        <f>ejercicio</f>
        <v>2025</v>
      </c>
      <c r="M33" s="115">
        <f>ejercicio</f>
        <v>2025</v>
      </c>
      <c r="N33" s="115">
        <f>ejercicio</f>
        <v>2025</v>
      </c>
      <c r="O33" s="349" t="s">
        <v>661</v>
      </c>
      <c r="P33" s="350" t="s">
        <v>662</v>
      </c>
      <c r="Q33" s="38"/>
      <c r="S33" s="732"/>
      <c r="T33" s="733"/>
      <c r="U33" s="733"/>
      <c r="V33" s="733"/>
      <c r="W33" s="733"/>
      <c r="X33" s="733"/>
      <c r="Y33" s="733"/>
      <c r="Z33" s="733"/>
      <c r="AA33" s="733"/>
      <c r="AB33" s="733"/>
      <c r="AC33" s="733"/>
      <c r="AD33" s="733"/>
      <c r="AE33" s="733"/>
      <c r="AF33" s="734"/>
    </row>
    <row r="34" spans="2:35" ht="22.95" customHeight="1">
      <c r="B34" s="46"/>
      <c r="C34" s="640" t="s">
        <v>672</v>
      </c>
      <c r="D34" s="337" t="s">
        <v>673</v>
      </c>
      <c r="E34" s="770">
        <v>2024</v>
      </c>
      <c r="F34" s="1031">
        <v>45930</v>
      </c>
      <c r="G34" s="640" t="s">
        <v>52</v>
      </c>
      <c r="H34" s="641" t="s">
        <v>674</v>
      </c>
      <c r="I34" s="357">
        <v>195000</v>
      </c>
      <c r="J34" s="357">
        <v>180000</v>
      </c>
      <c r="K34" s="642"/>
      <c r="L34" s="642"/>
      <c r="M34" s="642">
        <v>-180000</v>
      </c>
      <c r="N34" s="351">
        <f>J34+K34+L34+M34</f>
        <v>0</v>
      </c>
      <c r="O34" s="644"/>
      <c r="P34" s="645"/>
      <c r="Q34" s="38"/>
      <c r="S34" s="732"/>
      <c r="T34" s="733"/>
      <c r="U34" s="733"/>
      <c r="V34" s="733"/>
      <c r="W34" s="733"/>
      <c r="X34" s="733"/>
      <c r="Y34" s="733"/>
      <c r="Z34" s="733"/>
      <c r="AA34" s="733"/>
      <c r="AB34" s="733"/>
      <c r="AC34" s="733"/>
      <c r="AD34" s="733"/>
      <c r="AE34" s="733"/>
      <c r="AF34" s="734"/>
      <c r="AI34" s="31" t="s">
        <v>672</v>
      </c>
    </row>
    <row r="35" spans="2:35" ht="22.95" customHeight="1">
      <c r="B35" s="46"/>
      <c r="C35" s="640" t="s">
        <v>672</v>
      </c>
      <c r="D35" s="337" t="s">
        <v>675</v>
      </c>
      <c r="E35" s="770">
        <v>2025</v>
      </c>
      <c r="F35" s="1031">
        <v>46295</v>
      </c>
      <c r="G35" s="640" t="s">
        <v>52</v>
      </c>
      <c r="H35" s="641" t="s">
        <v>674</v>
      </c>
      <c r="I35" s="357">
        <v>170600</v>
      </c>
      <c r="J35" s="357">
        <v>0</v>
      </c>
      <c r="K35" s="602">
        <v>170600</v>
      </c>
      <c r="L35" s="357"/>
      <c r="M35" s="357">
        <v>-10000</v>
      </c>
      <c r="N35" s="351">
        <f t="shared" ref="N35:N58" si="1">J35+K35+L35+M35</f>
        <v>160600</v>
      </c>
      <c r="O35" s="646">
        <v>160600</v>
      </c>
      <c r="P35" s="647"/>
      <c r="Q35" s="38"/>
      <c r="S35" s="732"/>
      <c r="T35" s="733"/>
      <c r="U35" s="733"/>
      <c r="V35" s="733"/>
      <c r="W35" s="733"/>
      <c r="X35" s="733"/>
      <c r="Y35" s="733"/>
      <c r="Z35" s="733"/>
      <c r="AA35" s="733"/>
      <c r="AB35" s="733"/>
      <c r="AC35" s="733"/>
      <c r="AD35" s="733"/>
      <c r="AE35" s="733"/>
      <c r="AF35" s="734"/>
      <c r="AI35" s="31" t="s">
        <v>676</v>
      </c>
    </row>
    <row r="36" spans="2:35" ht="22.95" customHeight="1">
      <c r="B36" s="46"/>
      <c r="C36" s="640" t="s">
        <v>672</v>
      </c>
      <c r="D36" s="337" t="s">
        <v>677</v>
      </c>
      <c r="E36" s="770">
        <v>2025</v>
      </c>
      <c r="F36" s="1031">
        <v>46052</v>
      </c>
      <c r="G36" s="640" t="s">
        <v>52</v>
      </c>
      <c r="H36" s="641" t="s">
        <v>674</v>
      </c>
      <c r="I36" s="357">
        <v>14000</v>
      </c>
      <c r="J36" s="357">
        <v>0</v>
      </c>
      <c r="K36" s="602">
        <v>14000</v>
      </c>
      <c r="L36" s="357"/>
      <c r="M36" s="357">
        <v>-14000</v>
      </c>
      <c r="N36" s="351">
        <f t="shared" si="1"/>
        <v>0</v>
      </c>
      <c r="O36" s="646"/>
      <c r="P36" s="647"/>
      <c r="Q36" s="38"/>
      <c r="S36" s="732"/>
      <c r="T36" s="733"/>
      <c r="U36" s="733"/>
      <c r="V36" s="733"/>
      <c r="W36" s="733"/>
      <c r="X36" s="733"/>
      <c r="Y36" s="733"/>
      <c r="Z36" s="733"/>
      <c r="AA36" s="733"/>
      <c r="AB36" s="733"/>
      <c r="AC36" s="733"/>
      <c r="AD36" s="733"/>
      <c r="AE36" s="733"/>
      <c r="AF36" s="734"/>
    </row>
    <row r="37" spans="2:35" ht="22.95" customHeight="1">
      <c r="B37" s="46"/>
      <c r="C37" s="640" t="s">
        <v>672</v>
      </c>
      <c r="D37" s="337" t="s">
        <v>602</v>
      </c>
      <c r="E37" s="770">
        <v>2024</v>
      </c>
      <c r="F37" s="1031">
        <v>46022</v>
      </c>
      <c r="G37" s="640" t="s">
        <v>52</v>
      </c>
      <c r="H37" s="641" t="s">
        <v>674</v>
      </c>
      <c r="I37" s="357">
        <v>157534.32999999999</v>
      </c>
      <c r="J37" s="357">
        <v>157534.32999999999</v>
      </c>
      <c r="K37" s="602"/>
      <c r="L37" s="357"/>
      <c r="M37" s="357">
        <v>-157534.32999999999</v>
      </c>
      <c r="N37" s="351">
        <f t="shared" si="1"/>
        <v>0</v>
      </c>
      <c r="O37" s="646"/>
      <c r="P37" s="647"/>
      <c r="Q37" s="38"/>
      <c r="S37" s="732"/>
      <c r="T37" s="733"/>
      <c r="U37" s="733"/>
      <c r="V37" s="733"/>
      <c r="W37" s="733"/>
      <c r="X37" s="733"/>
      <c r="Y37" s="733"/>
      <c r="Z37" s="733"/>
      <c r="AA37" s="733"/>
      <c r="AB37" s="733"/>
      <c r="AC37" s="733"/>
      <c r="AD37" s="733"/>
      <c r="AE37" s="733"/>
      <c r="AF37" s="734"/>
    </row>
    <row r="38" spans="2:35" ht="22.95" customHeight="1">
      <c r="B38" s="46"/>
      <c r="C38" s="640"/>
      <c r="D38" s="337"/>
      <c r="E38" s="770"/>
      <c r="F38" s="641"/>
      <c r="G38" s="640"/>
      <c r="H38" s="641"/>
      <c r="I38" s="357"/>
      <c r="J38" s="357"/>
      <c r="K38" s="602"/>
      <c r="L38" s="357"/>
      <c r="M38" s="357"/>
      <c r="N38" s="351">
        <f t="shared" si="1"/>
        <v>0</v>
      </c>
      <c r="O38" s="646"/>
      <c r="P38" s="647"/>
      <c r="Q38" s="38"/>
      <c r="S38" s="732"/>
      <c r="T38" s="733"/>
      <c r="U38" s="733"/>
      <c r="V38" s="733"/>
      <c r="W38" s="733"/>
      <c r="X38" s="733"/>
      <c r="Y38" s="733"/>
      <c r="Z38" s="733"/>
      <c r="AA38" s="733"/>
      <c r="AB38" s="733"/>
      <c r="AC38" s="733"/>
      <c r="AD38" s="733"/>
      <c r="AE38" s="733"/>
      <c r="AF38" s="734"/>
    </row>
    <row r="39" spans="2:35" ht="22.95" customHeight="1">
      <c r="B39" s="46"/>
      <c r="C39" s="640"/>
      <c r="D39" s="337"/>
      <c r="E39" s="770"/>
      <c r="F39" s="641"/>
      <c r="G39" s="640"/>
      <c r="H39" s="641"/>
      <c r="I39" s="357"/>
      <c r="J39" s="357"/>
      <c r="K39" s="602"/>
      <c r="L39" s="357"/>
      <c r="M39" s="357"/>
      <c r="N39" s="351">
        <f t="shared" si="1"/>
        <v>0</v>
      </c>
      <c r="O39" s="646"/>
      <c r="P39" s="647"/>
      <c r="Q39" s="38"/>
      <c r="S39" s="732"/>
      <c r="T39" s="733"/>
      <c r="U39" s="733"/>
      <c r="V39" s="733"/>
      <c r="W39" s="733"/>
      <c r="X39" s="733"/>
      <c r="Y39" s="733"/>
      <c r="Z39" s="733"/>
      <c r="AA39" s="733"/>
      <c r="AB39" s="733"/>
      <c r="AC39" s="733"/>
      <c r="AD39" s="733"/>
      <c r="AE39" s="733"/>
      <c r="AF39" s="734"/>
    </row>
    <row r="40" spans="2:35" ht="22.95" customHeight="1">
      <c r="B40" s="46"/>
      <c r="C40" s="640"/>
      <c r="D40" s="337"/>
      <c r="E40" s="770"/>
      <c r="F40" s="641"/>
      <c r="G40" s="640"/>
      <c r="H40" s="641"/>
      <c r="I40" s="357"/>
      <c r="J40" s="357"/>
      <c r="K40" s="602"/>
      <c r="L40" s="357"/>
      <c r="M40" s="357"/>
      <c r="N40" s="351">
        <f t="shared" si="1"/>
        <v>0</v>
      </c>
      <c r="O40" s="646"/>
      <c r="P40" s="647"/>
      <c r="Q40" s="38"/>
      <c r="S40" s="732"/>
      <c r="T40" s="733"/>
      <c r="U40" s="733"/>
      <c r="V40" s="733"/>
      <c r="W40" s="733"/>
      <c r="X40" s="733"/>
      <c r="Y40" s="733"/>
      <c r="Z40" s="733"/>
      <c r="AA40" s="733"/>
      <c r="AB40" s="733"/>
      <c r="AC40" s="733"/>
      <c r="AD40" s="733"/>
      <c r="AE40" s="733"/>
      <c r="AF40" s="734"/>
    </row>
    <row r="41" spans="2:35" ht="22.95" customHeight="1">
      <c r="B41" s="46"/>
      <c r="C41" s="640"/>
      <c r="D41" s="337"/>
      <c r="E41" s="770"/>
      <c r="F41" s="641"/>
      <c r="G41" s="640"/>
      <c r="H41" s="641"/>
      <c r="I41" s="357"/>
      <c r="J41" s="357"/>
      <c r="K41" s="602"/>
      <c r="L41" s="357"/>
      <c r="M41" s="357"/>
      <c r="N41" s="351">
        <f t="shared" si="1"/>
        <v>0</v>
      </c>
      <c r="O41" s="646"/>
      <c r="P41" s="647"/>
      <c r="Q41" s="38"/>
      <c r="S41" s="732"/>
      <c r="T41" s="733"/>
      <c r="U41" s="733"/>
      <c r="V41" s="733"/>
      <c r="W41" s="733"/>
      <c r="X41" s="733"/>
      <c r="Y41" s="733"/>
      <c r="Z41" s="733"/>
      <c r="AA41" s="733"/>
      <c r="AB41" s="733"/>
      <c r="AC41" s="733"/>
      <c r="AD41" s="733"/>
      <c r="AE41" s="733"/>
      <c r="AF41" s="734"/>
    </row>
    <row r="42" spans="2:35" ht="22.95" customHeight="1">
      <c r="B42" s="46"/>
      <c r="C42" s="640"/>
      <c r="D42" s="337"/>
      <c r="E42" s="770"/>
      <c r="F42" s="641"/>
      <c r="G42" s="640"/>
      <c r="H42" s="641"/>
      <c r="I42" s="357"/>
      <c r="J42" s="357"/>
      <c r="K42" s="602"/>
      <c r="L42" s="357"/>
      <c r="M42" s="357"/>
      <c r="N42" s="351">
        <f t="shared" si="1"/>
        <v>0</v>
      </c>
      <c r="O42" s="646"/>
      <c r="P42" s="647"/>
      <c r="Q42" s="38"/>
      <c r="S42" s="732"/>
      <c r="T42" s="733"/>
      <c r="U42" s="733"/>
      <c r="V42" s="733"/>
      <c r="W42" s="733"/>
      <c r="X42" s="733"/>
      <c r="Y42" s="733"/>
      <c r="Z42" s="733"/>
      <c r="AA42" s="733"/>
      <c r="AB42" s="733"/>
      <c r="AC42" s="733"/>
      <c r="AD42" s="733"/>
      <c r="AE42" s="733"/>
      <c r="AF42" s="734"/>
    </row>
    <row r="43" spans="2:35" ht="22.95" customHeight="1">
      <c r="B43" s="46"/>
      <c r="C43" s="640"/>
      <c r="D43" s="337"/>
      <c r="E43" s="770"/>
      <c r="F43" s="641"/>
      <c r="G43" s="640"/>
      <c r="H43" s="641"/>
      <c r="I43" s="357"/>
      <c r="J43" s="357"/>
      <c r="K43" s="602"/>
      <c r="L43" s="357"/>
      <c r="M43" s="357"/>
      <c r="N43" s="351">
        <f t="shared" si="1"/>
        <v>0</v>
      </c>
      <c r="O43" s="646"/>
      <c r="P43" s="647"/>
      <c r="Q43" s="38"/>
      <c r="S43" s="732"/>
      <c r="T43" s="733"/>
      <c r="U43" s="733"/>
      <c r="V43" s="733"/>
      <c r="W43" s="733"/>
      <c r="X43" s="733"/>
      <c r="Y43" s="733"/>
      <c r="Z43" s="733"/>
      <c r="AA43" s="733"/>
      <c r="AB43" s="733"/>
      <c r="AC43" s="733"/>
      <c r="AD43" s="733"/>
      <c r="AE43" s="733"/>
      <c r="AF43" s="734"/>
    </row>
    <row r="44" spans="2:35" ht="22.95" customHeight="1">
      <c r="B44" s="46"/>
      <c r="C44" s="640"/>
      <c r="D44" s="337"/>
      <c r="E44" s="770"/>
      <c r="F44" s="641"/>
      <c r="G44" s="640"/>
      <c r="H44" s="641"/>
      <c r="I44" s="357"/>
      <c r="J44" s="357"/>
      <c r="K44" s="602"/>
      <c r="L44" s="357"/>
      <c r="M44" s="357"/>
      <c r="N44" s="351">
        <f t="shared" si="1"/>
        <v>0</v>
      </c>
      <c r="O44" s="646"/>
      <c r="P44" s="647"/>
      <c r="Q44" s="38"/>
      <c r="S44" s="732"/>
      <c r="T44" s="733"/>
      <c r="U44" s="733"/>
      <c r="V44" s="733"/>
      <c r="W44" s="733"/>
      <c r="X44" s="733"/>
      <c r="Y44" s="733"/>
      <c r="Z44" s="733"/>
      <c r="AA44" s="733"/>
      <c r="AB44" s="733"/>
      <c r="AC44" s="733"/>
      <c r="AD44" s="733"/>
      <c r="AE44" s="733"/>
      <c r="AF44" s="734"/>
    </row>
    <row r="45" spans="2:35" ht="22.95" customHeight="1">
      <c r="B45" s="46"/>
      <c r="C45" s="640"/>
      <c r="D45" s="337"/>
      <c r="E45" s="770"/>
      <c r="F45" s="641"/>
      <c r="G45" s="640"/>
      <c r="H45" s="641"/>
      <c r="I45" s="357"/>
      <c r="J45" s="357"/>
      <c r="K45" s="602"/>
      <c r="L45" s="357"/>
      <c r="M45" s="357"/>
      <c r="N45" s="351">
        <f t="shared" si="1"/>
        <v>0</v>
      </c>
      <c r="O45" s="646"/>
      <c r="P45" s="647"/>
      <c r="Q45" s="38"/>
      <c r="S45" s="732"/>
      <c r="T45" s="733"/>
      <c r="U45" s="733"/>
      <c r="V45" s="733"/>
      <c r="W45" s="733"/>
      <c r="X45" s="733"/>
      <c r="Y45" s="733"/>
      <c r="Z45" s="733"/>
      <c r="AA45" s="733"/>
      <c r="AB45" s="733"/>
      <c r="AC45" s="733"/>
      <c r="AD45" s="733"/>
      <c r="AE45" s="733"/>
      <c r="AF45" s="734"/>
    </row>
    <row r="46" spans="2:35" ht="22.95" customHeight="1">
      <c r="B46" s="46"/>
      <c r="C46" s="640"/>
      <c r="D46" s="337"/>
      <c r="E46" s="770"/>
      <c r="F46" s="641"/>
      <c r="G46" s="640"/>
      <c r="H46" s="641"/>
      <c r="I46" s="357"/>
      <c r="J46" s="357"/>
      <c r="K46" s="602"/>
      <c r="L46" s="357"/>
      <c r="M46" s="357"/>
      <c r="N46" s="351">
        <f t="shared" si="1"/>
        <v>0</v>
      </c>
      <c r="O46" s="646"/>
      <c r="P46" s="647"/>
      <c r="Q46" s="38"/>
      <c r="S46" s="732"/>
      <c r="T46" s="733"/>
      <c r="U46" s="733"/>
      <c r="V46" s="733"/>
      <c r="W46" s="733"/>
      <c r="X46" s="733"/>
      <c r="Y46" s="733"/>
      <c r="Z46" s="733"/>
      <c r="AA46" s="733"/>
      <c r="AB46" s="733"/>
      <c r="AC46" s="733"/>
      <c r="AD46" s="733"/>
      <c r="AE46" s="733"/>
      <c r="AF46" s="734"/>
    </row>
    <row r="47" spans="2:35" ht="22.95" customHeight="1">
      <c r="B47" s="46"/>
      <c r="C47" s="640"/>
      <c r="D47" s="337"/>
      <c r="E47" s="770"/>
      <c r="F47" s="641"/>
      <c r="G47" s="640"/>
      <c r="H47" s="641"/>
      <c r="I47" s="357"/>
      <c r="J47" s="357"/>
      <c r="K47" s="602"/>
      <c r="L47" s="357"/>
      <c r="M47" s="357"/>
      <c r="N47" s="351">
        <f t="shared" si="1"/>
        <v>0</v>
      </c>
      <c r="O47" s="646"/>
      <c r="P47" s="647"/>
      <c r="Q47" s="38"/>
      <c r="S47" s="732"/>
      <c r="T47" s="733"/>
      <c r="U47" s="733"/>
      <c r="V47" s="733"/>
      <c r="W47" s="733"/>
      <c r="X47" s="733"/>
      <c r="Y47" s="733"/>
      <c r="Z47" s="733"/>
      <c r="AA47" s="733"/>
      <c r="AB47" s="733"/>
      <c r="AC47" s="733"/>
      <c r="AD47" s="733"/>
      <c r="AE47" s="733"/>
      <c r="AF47" s="734"/>
    </row>
    <row r="48" spans="2:35" ht="22.95" customHeight="1">
      <c r="B48" s="46"/>
      <c r="C48" s="640"/>
      <c r="D48" s="337"/>
      <c r="E48" s="770"/>
      <c r="F48" s="641"/>
      <c r="G48" s="640"/>
      <c r="H48" s="641"/>
      <c r="I48" s="357"/>
      <c r="J48" s="357"/>
      <c r="K48" s="602"/>
      <c r="L48" s="357"/>
      <c r="M48" s="357"/>
      <c r="N48" s="351">
        <f t="shared" si="1"/>
        <v>0</v>
      </c>
      <c r="O48" s="646"/>
      <c r="P48" s="647"/>
      <c r="Q48" s="38"/>
      <c r="S48" s="732"/>
      <c r="T48" s="733"/>
      <c r="U48" s="733"/>
      <c r="V48" s="733"/>
      <c r="W48" s="733"/>
      <c r="X48" s="733"/>
      <c r="Y48" s="733"/>
      <c r="Z48" s="733"/>
      <c r="AA48" s="733"/>
      <c r="AB48" s="733"/>
      <c r="AC48" s="733"/>
      <c r="AD48" s="733"/>
      <c r="AE48" s="733"/>
      <c r="AF48" s="734"/>
    </row>
    <row r="49" spans="2:32" ht="22.95" customHeight="1">
      <c r="B49" s="46"/>
      <c r="C49" s="640"/>
      <c r="D49" s="337"/>
      <c r="E49" s="770"/>
      <c r="F49" s="641"/>
      <c r="G49" s="640"/>
      <c r="H49" s="641"/>
      <c r="I49" s="357"/>
      <c r="J49" s="357"/>
      <c r="K49" s="602"/>
      <c r="L49" s="357"/>
      <c r="M49" s="357"/>
      <c r="N49" s="351">
        <f t="shared" si="1"/>
        <v>0</v>
      </c>
      <c r="O49" s="646"/>
      <c r="P49" s="647"/>
      <c r="Q49" s="38"/>
      <c r="S49" s="732"/>
      <c r="T49" s="733"/>
      <c r="U49" s="733"/>
      <c r="V49" s="733"/>
      <c r="W49" s="733"/>
      <c r="X49" s="733"/>
      <c r="Y49" s="733"/>
      <c r="Z49" s="733"/>
      <c r="AA49" s="733"/>
      <c r="AB49" s="733"/>
      <c r="AC49" s="733"/>
      <c r="AD49" s="733"/>
      <c r="AE49" s="733"/>
      <c r="AF49" s="734"/>
    </row>
    <row r="50" spans="2:32" ht="22.95" customHeight="1">
      <c r="B50" s="46"/>
      <c r="C50" s="640"/>
      <c r="D50" s="337"/>
      <c r="E50" s="770"/>
      <c r="F50" s="641"/>
      <c r="G50" s="640"/>
      <c r="H50" s="641"/>
      <c r="I50" s="357"/>
      <c r="J50" s="357"/>
      <c r="K50" s="602"/>
      <c r="L50" s="357"/>
      <c r="M50" s="357"/>
      <c r="N50" s="351">
        <f t="shared" si="1"/>
        <v>0</v>
      </c>
      <c r="O50" s="646"/>
      <c r="P50" s="647"/>
      <c r="Q50" s="38"/>
      <c r="S50" s="732"/>
      <c r="T50" s="733"/>
      <c r="U50" s="733"/>
      <c r="V50" s="733"/>
      <c r="W50" s="733"/>
      <c r="X50" s="733"/>
      <c r="Y50" s="733"/>
      <c r="Z50" s="733"/>
      <c r="AA50" s="733"/>
      <c r="AB50" s="733"/>
      <c r="AC50" s="733"/>
      <c r="AD50" s="733"/>
      <c r="AE50" s="733"/>
      <c r="AF50" s="734"/>
    </row>
    <row r="51" spans="2:32" ht="22.95" customHeight="1">
      <c r="B51" s="46"/>
      <c r="C51" s="640"/>
      <c r="D51" s="337"/>
      <c r="E51" s="770"/>
      <c r="F51" s="641"/>
      <c r="G51" s="640"/>
      <c r="H51" s="641"/>
      <c r="I51" s="357"/>
      <c r="J51" s="357"/>
      <c r="K51" s="602"/>
      <c r="L51" s="357"/>
      <c r="M51" s="357"/>
      <c r="N51" s="351">
        <f t="shared" si="1"/>
        <v>0</v>
      </c>
      <c r="O51" s="646"/>
      <c r="P51" s="647"/>
      <c r="Q51" s="38"/>
      <c r="S51" s="732"/>
      <c r="T51" s="733"/>
      <c r="U51" s="733"/>
      <c r="V51" s="733"/>
      <c r="W51" s="733"/>
      <c r="X51" s="733"/>
      <c r="Y51" s="733"/>
      <c r="Z51" s="733"/>
      <c r="AA51" s="733"/>
      <c r="AB51" s="733"/>
      <c r="AC51" s="733"/>
      <c r="AD51" s="733"/>
      <c r="AE51" s="733"/>
      <c r="AF51" s="734"/>
    </row>
    <row r="52" spans="2:32" ht="22.95" customHeight="1">
      <c r="B52" s="46"/>
      <c r="C52" s="640"/>
      <c r="D52" s="337"/>
      <c r="E52" s="770"/>
      <c r="F52" s="641"/>
      <c r="G52" s="640"/>
      <c r="H52" s="641"/>
      <c r="I52" s="357"/>
      <c r="J52" s="357"/>
      <c r="K52" s="602"/>
      <c r="L52" s="357"/>
      <c r="M52" s="357"/>
      <c r="N52" s="351">
        <f t="shared" si="1"/>
        <v>0</v>
      </c>
      <c r="O52" s="646"/>
      <c r="P52" s="647"/>
      <c r="Q52" s="38"/>
      <c r="S52" s="732"/>
      <c r="T52" s="733"/>
      <c r="U52" s="733"/>
      <c r="V52" s="733"/>
      <c r="W52" s="733"/>
      <c r="X52" s="733"/>
      <c r="Y52" s="733"/>
      <c r="Z52" s="733"/>
      <c r="AA52" s="733"/>
      <c r="AB52" s="733"/>
      <c r="AC52" s="733"/>
      <c r="AD52" s="733"/>
      <c r="AE52" s="733"/>
      <c r="AF52" s="734"/>
    </row>
    <row r="53" spans="2:32" ht="22.95" customHeight="1">
      <c r="B53" s="46"/>
      <c r="C53" s="640"/>
      <c r="D53" s="337"/>
      <c r="E53" s="770"/>
      <c r="F53" s="641"/>
      <c r="G53" s="640"/>
      <c r="H53" s="641"/>
      <c r="I53" s="357"/>
      <c r="J53" s="357"/>
      <c r="K53" s="602"/>
      <c r="L53" s="357"/>
      <c r="M53" s="357"/>
      <c r="N53" s="351">
        <f t="shared" si="1"/>
        <v>0</v>
      </c>
      <c r="O53" s="646"/>
      <c r="P53" s="647"/>
      <c r="Q53" s="38"/>
      <c r="S53" s="732"/>
      <c r="T53" s="733"/>
      <c r="U53" s="733"/>
      <c r="V53" s="733"/>
      <c r="W53" s="733"/>
      <c r="X53" s="733"/>
      <c r="Y53" s="733"/>
      <c r="Z53" s="733"/>
      <c r="AA53" s="733"/>
      <c r="AB53" s="733"/>
      <c r="AC53" s="733"/>
      <c r="AD53" s="733"/>
      <c r="AE53" s="733"/>
      <c r="AF53" s="734"/>
    </row>
    <row r="54" spans="2:32" ht="22.95" customHeight="1">
      <c r="B54" s="46"/>
      <c r="C54" s="640"/>
      <c r="D54" s="337"/>
      <c r="E54" s="770"/>
      <c r="F54" s="641"/>
      <c r="G54" s="640"/>
      <c r="H54" s="641"/>
      <c r="I54" s="357"/>
      <c r="J54" s="357"/>
      <c r="K54" s="602"/>
      <c r="L54" s="357"/>
      <c r="M54" s="357"/>
      <c r="N54" s="351">
        <f t="shared" si="1"/>
        <v>0</v>
      </c>
      <c r="O54" s="646"/>
      <c r="P54" s="647"/>
      <c r="Q54" s="38"/>
      <c r="S54" s="732"/>
      <c r="T54" s="733"/>
      <c r="U54" s="733"/>
      <c r="V54" s="733"/>
      <c r="W54" s="733"/>
      <c r="X54" s="733"/>
      <c r="Y54" s="733"/>
      <c r="Z54" s="733"/>
      <c r="AA54" s="733"/>
      <c r="AB54" s="733"/>
      <c r="AC54" s="733"/>
      <c r="AD54" s="733"/>
      <c r="AE54" s="733"/>
      <c r="AF54" s="734"/>
    </row>
    <row r="55" spans="2:32" ht="22.95" customHeight="1">
      <c r="B55" s="46"/>
      <c r="C55" s="640"/>
      <c r="D55" s="337"/>
      <c r="E55" s="770"/>
      <c r="F55" s="641"/>
      <c r="G55" s="640"/>
      <c r="H55" s="641"/>
      <c r="I55" s="357"/>
      <c r="J55" s="357"/>
      <c r="K55" s="602"/>
      <c r="L55" s="357"/>
      <c r="M55" s="357"/>
      <c r="N55" s="351">
        <f t="shared" si="1"/>
        <v>0</v>
      </c>
      <c r="O55" s="646"/>
      <c r="P55" s="647"/>
      <c r="Q55" s="38"/>
      <c r="S55" s="732"/>
      <c r="T55" s="733"/>
      <c r="U55" s="733"/>
      <c r="V55" s="733"/>
      <c r="W55" s="733"/>
      <c r="X55" s="733"/>
      <c r="Y55" s="733"/>
      <c r="Z55" s="733"/>
      <c r="AA55" s="733"/>
      <c r="AB55" s="733"/>
      <c r="AC55" s="733"/>
      <c r="AD55" s="733"/>
      <c r="AE55" s="733"/>
      <c r="AF55" s="734"/>
    </row>
    <row r="56" spans="2:32" ht="22.95" customHeight="1">
      <c r="B56" s="46"/>
      <c r="C56" s="640"/>
      <c r="D56" s="337"/>
      <c r="E56" s="770"/>
      <c r="F56" s="641"/>
      <c r="G56" s="640"/>
      <c r="H56" s="641"/>
      <c r="I56" s="357"/>
      <c r="J56" s="357"/>
      <c r="K56" s="602"/>
      <c r="L56" s="357"/>
      <c r="M56" s="357"/>
      <c r="N56" s="351">
        <f t="shared" si="1"/>
        <v>0</v>
      </c>
      <c r="O56" s="646"/>
      <c r="P56" s="647"/>
      <c r="Q56" s="38"/>
      <c r="S56" s="732"/>
      <c r="T56" s="733"/>
      <c r="U56" s="733"/>
      <c r="V56" s="733"/>
      <c r="W56" s="733"/>
      <c r="X56" s="733"/>
      <c r="Y56" s="733"/>
      <c r="Z56" s="733"/>
      <c r="AA56" s="733"/>
      <c r="AB56" s="733"/>
      <c r="AC56" s="733"/>
      <c r="AD56" s="733"/>
      <c r="AE56" s="733"/>
      <c r="AF56" s="734"/>
    </row>
    <row r="57" spans="2:32" ht="22.95" customHeight="1">
      <c r="B57" s="46"/>
      <c r="C57" s="640"/>
      <c r="D57" s="648"/>
      <c r="E57" s="771"/>
      <c r="F57" s="649"/>
      <c r="G57" s="650"/>
      <c r="H57" s="649"/>
      <c r="I57" s="602"/>
      <c r="J57" s="602"/>
      <c r="K57" s="602"/>
      <c r="L57" s="602"/>
      <c r="M57" s="602"/>
      <c r="N57" s="351">
        <f t="shared" si="1"/>
        <v>0</v>
      </c>
      <c r="O57" s="646"/>
      <c r="P57" s="647"/>
      <c r="Q57" s="38"/>
      <c r="S57" s="732"/>
      <c r="T57" s="733"/>
      <c r="U57" s="733"/>
      <c r="V57" s="733"/>
      <c r="W57" s="733"/>
      <c r="X57" s="733"/>
      <c r="Y57" s="733"/>
      <c r="Z57" s="733"/>
      <c r="AA57" s="733"/>
      <c r="AB57" s="733"/>
      <c r="AC57" s="733"/>
      <c r="AD57" s="733"/>
      <c r="AE57" s="733"/>
      <c r="AF57" s="734"/>
    </row>
    <row r="58" spans="2:32" ht="22.95" customHeight="1">
      <c r="B58" s="46"/>
      <c r="C58" s="769"/>
      <c r="D58" s="652"/>
      <c r="E58" s="772"/>
      <c r="F58" s="653"/>
      <c r="G58" s="651"/>
      <c r="H58" s="653"/>
      <c r="I58" s="605"/>
      <c r="J58" s="605"/>
      <c r="K58" s="605"/>
      <c r="L58" s="605"/>
      <c r="M58" s="605"/>
      <c r="N58" s="351">
        <f t="shared" si="1"/>
        <v>0</v>
      </c>
      <c r="O58" s="654"/>
      <c r="P58" s="655"/>
      <c r="Q58" s="38"/>
      <c r="S58" s="732"/>
      <c r="T58" s="733"/>
      <c r="U58" s="733"/>
      <c r="V58" s="733"/>
      <c r="W58" s="733"/>
      <c r="X58" s="733"/>
      <c r="Y58" s="733"/>
      <c r="Z58" s="733"/>
      <c r="AA58" s="733"/>
      <c r="AB58" s="733"/>
      <c r="AC58" s="733"/>
      <c r="AD58" s="733"/>
      <c r="AE58" s="733"/>
      <c r="AF58" s="734"/>
    </row>
    <row r="59" spans="2:32" ht="22.95" customHeight="1" thickBot="1">
      <c r="B59" s="46"/>
      <c r="C59" s="1248" t="s">
        <v>678</v>
      </c>
      <c r="D59" s="1249"/>
      <c r="E59" s="1249"/>
      <c r="F59" s="1249"/>
      <c r="G59" s="1249"/>
      <c r="H59" s="73"/>
      <c r="I59" s="105">
        <f>SUM(I34:I58)</f>
        <v>537134.32999999996</v>
      </c>
      <c r="J59" s="105">
        <f t="shared" ref="J59:P59" si="2">SUM(J34:J58)</f>
        <v>337534.32999999996</v>
      </c>
      <c r="K59" s="105">
        <f t="shared" si="2"/>
        <v>184600</v>
      </c>
      <c r="L59" s="105">
        <f t="shared" si="2"/>
        <v>0</v>
      </c>
      <c r="M59" s="105">
        <f t="shared" si="2"/>
        <v>-361534.32999999996</v>
      </c>
      <c r="N59" s="352">
        <f>SUM(N34:N58)</f>
        <v>160600</v>
      </c>
      <c r="O59" s="105">
        <f t="shared" si="2"/>
        <v>160600</v>
      </c>
      <c r="P59" s="69">
        <f t="shared" si="2"/>
        <v>0</v>
      </c>
      <c r="Q59" s="38"/>
      <c r="R59" s="773">
        <f>SUM(I59:P59)</f>
        <v>1018934.33</v>
      </c>
      <c r="S59" s="732"/>
      <c r="T59" s="733"/>
      <c r="U59" s="733"/>
      <c r="V59" s="733"/>
      <c r="W59" s="733"/>
      <c r="X59" s="733"/>
      <c r="Y59" s="733"/>
      <c r="Z59" s="733"/>
      <c r="AA59" s="733"/>
      <c r="AB59" s="733"/>
      <c r="AC59" s="733"/>
      <c r="AD59" s="733"/>
      <c r="AE59" s="733"/>
      <c r="AF59" s="734"/>
    </row>
    <row r="60" spans="2:32" ht="22.95" customHeight="1">
      <c r="B60" s="46"/>
      <c r="C60" s="1250" t="s">
        <v>679</v>
      </c>
      <c r="D60" s="1251"/>
      <c r="E60" s="1251"/>
      <c r="F60" s="1251"/>
      <c r="G60" s="1251"/>
      <c r="H60" s="849"/>
      <c r="I60" s="774">
        <f>SUMIF($C$34:$C$58,"Corriente",$I$34:$I$58)</f>
        <v>537134.32999999996</v>
      </c>
      <c r="J60" s="774">
        <f>SUMIF($C$34:$C$58,"Corriente",$J$34:$J$58)</f>
        <v>337534.32999999996</v>
      </c>
      <c r="K60" s="774">
        <f>SUMIF($C$34:$C$58,"Corriente",$K$34:$K$58)</f>
        <v>184600</v>
      </c>
      <c r="L60" s="774">
        <f>SUMIF($C$34:$C$58,"Corriente",$L$34:$L$58)</f>
        <v>0</v>
      </c>
      <c r="M60" s="774">
        <f>SUMIF($C$34:$C$58,"Corriente",$M$34:$M$58)</f>
        <v>-361534.32999999996</v>
      </c>
      <c r="N60" s="775">
        <f>SUMIF($C$34:$C$58,"Corriente",$N$34:$N$58)</f>
        <v>160600</v>
      </c>
      <c r="O60" s="774">
        <f>SUMIF($C$34:$C$58,"Corriente",$O$34:$O$58)</f>
        <v>160600</v>
      </c>
      <c r="P60" s="774">
        <f>SUMIF($C$34:$C$58,"Corriente",$P$34:$P$58)</f>
        <v>0</v>
      </c>
      <c r="Q60" s="38"/>
      <c r="R60" s="773">
        <f>SUM(I60:P60)</f>
        <v>1018934.33</v>
      </c>
      <c r="S60" s="732"/>
      <c r="T60" s="733"/>
      <c r="U60" s="733"/>
      <c r="V60" s="733"/>
      <c r="W60" s="733"/>
      <c r="X60" s="733"/>
      <c r="Y60" s="733"/>
      <c r="Z60" s="733"/>
      <c r="AA60" s="733"/>
      <c r="AB60" s="733"/>
      <c r="AC60" s="733"/>
      <c r="AD60" s="733"/>
      <c r="AE60" s="733"/>
      <c r="AF60" s="734"/>
    </row>
    <row r="61" spans="2:32" ht="22.95" customHeight="1">
      <c r="B61" s="46"/>
      <c r="C61" s="1252">
        <f>ejercicio</f>
        <v>2025</v>
      </c>
      <c r="D61" s="1253"/>
      <c r="E61" s="1253"/>
      <c r="F61" s="1253"/>
      <c r="G61" s="1253"/>
      <c r="H61" s="850"/>
      <c r="I61" s="776">
        <f t="shared" ref="I61:P61" si="3">SUMIFS(I34:I58,$C$34:$C$58,"Corriente",$E$34:$E$58,ejercicio)</f>
        <v>184600</v>
      </c>
      <c r="J61" s="776">
        <f t="shared" si="3"/>
        <v>0</v>
      </c>
      <c r="K61" s="776">
        <f t="shared" si="3"/>
        <v>184600</v>
      </c>
      <c r="L61" s="776">
        <f t="shared" si="3"/>
        <v>0</v>
      </c>
      <c r="M61" s="776">
        <f t="shared" si="3"/>
        <v>-24000</v>
      </c>
      <c r="N61" s="777">
        <f t="shared" si="3"/>
        <v>160600</v>
      </c>
      <c r="O61" s="776">
        <f t="shared" si="3"/>
        <v>160600</v>
      </c>
      <c r="P61" s="776">
        <f t="shared" si="3"/>
        <v>0</v>
      </c>
      <c r="Q61" s="38"/>
      <c r="R61" s="778"/>
      <c r="S61" s="732"/>
      <c r="T61" s="733"/>
      <c r="U61" s="733"/>
      <c r="V61" s="733"/>
      <c r="W61" s="733"/>
      <c r="X61" s="733"/>
      <c r="Y61" s="733"/>
      <c r="Z61" s="733"/>
      <c r="AA61" s="733"/>
      <c r="AB61" s="733"/>
      <c r="AC61" s="733"/>
      <c r="AD61" s="733"/>
      <c r="AE61" s="733"/>
      <c r="AF61" s="734"/>
    </row>
    <row r="62" spans="2:32" ht="22.95" customHeight="1" thickBot="1">
      <c r="B62" s="46"/>
      <c r="C62" s="1254" t="s">
        <v>680</v>
      </c>
      <c r="D62" s="1255"/>
      <c r="E62" s="1255"/>
      <c r="F62" s="1255"/>
      <c r="G62" s="1255"/>
      <c r="H62" s="851"/>
      <c r="I62" s="853">
        <f>I60-I61</f>
        <v>352534.32999999996</v>
      </c>
      <c r="J62" s="853">
        <f t="shared" ref="J62:P62" si="4">J60-J61</f>
        <v>337534.32999999996</v>
      </c>
      <c r="K62" s="853">
        <f t="shared" si="4"/>
        <v>0</v>
      </c>
      <c r="L62" s="853">
        <f t="shared" si="4"/>
        <v>0</v>
      </c>
      <c r="M62" s="853">
        <f t="shared" si="4"/>
        <v>-337534.32999999996</v>
      </c>
      <c r="N62" s="854">
        <f>N60-N61</f>
        <v>0</v>
      </c>
      <c r="O62" s="853">
        <f>O60-O61</f>
        <v>0</v>
      </c>
      <c r="P62" s="853">
        <f t="shared" si="4"/>
        <v>0</v>
      </c>
      <c r="Q62" s="38"/>
      <c r="R62" s="778"/>
      <c r="S62" s="732"/>
      <c r="T62" s="733"/>
      <c r="U62" s="733"/>
      <c r="V62" s="733"/>
      <c r="W62" s="733"/>
      <c r="X62" s="733"/>
      <c r="Y62" s="733"/>
      <c r="Z62" s="733"/>
      <c r="AA62" s="733"/>
      <c r="AB62" s="733"/>
      <c r="AC62" s="733"/>
      <c r="AD62" s="733"/>
      <c r="AE62" s="733"/>
      <c r="AF62" s="734"/>
    </row>
    <row r="63" spans="2:32" ht="22.95" customHeight="1">
      <c r="B63" s="46"/>
      <c r="C63" s="1250" t="s">
        <v>681</v>
      </c>
      <c r="D63" s="1251"/>
      <c r="E63" s="1251"/>
      <c r="F63" s="1251"/>
      <c r="G63" s="1251"/>
      <c r="H63" s="849"/>
      <c r="I63" s="855">
        <f>SUMIF($C$34:$C$58,"Capital",$I$34:$I$58)</f>
        <v>0</v>
      </c>
      <c r="J63" s="855">
        <f>SUMIF($C$34:$C$58,"Capital",$J$34:$J$58)</f>
        <v>0</v>
      </c>
      <c r="K63" s="855">
        <f>SUMIF($C$34:$C$58,"Capital",$K$34:$K$58)</f>
        <v>0</v>
      </c>
      <c r="L63" s="855">
        <f>SUMIF($C$34:$C$58,"Capital",$L$34:$L$58)</f>
        <v>0</v>
      </c>
      <c r="M63" s="855">
        <f>SUMIF($C$34:$C$58,"Capital",$M$34:$M$58)</f>
        <v>0</v>
      </c>
      <c r="N63" s="856">
        <f>SUMIF($C$34:$C$58,"Capital",$N$34:$N$58)</f>
        <v>0</v>
      </c>
      <c r="O63" s="855">
        <f>SUMIF($C$34:$C$58,"Capital",$O$34:$O$58)</f>
        <v>0</v>
      </c>
      <c r="P63" s="855">
        <f>SUMIF($C$34:$C$58,"Capital",$P$34:$P$58)</f>
        <v>0</v>
      </c>
      <c r="Q63" s="38"/>
      <c r="R63" s="773">
        <f>SUM(I63:P63)</f>
        <v>0</v>
      </c>
      <c r="S63" s="732"/>
      <c r="T63" s="733"/>
      <c r="U63" s="733"/>
      <c r="V63" s="733"/>
      <c r="W63" s="733"/>
      <c r="X63" s="733"/>
      <c r="Y63" s="733"/>
      <c r="Z63" s="733"/>
      <c r="AA63" s="733"/>
      <c r="AB63" s="733"/>
      <c r="AC63" s="733"/>
      <c r="AD63" s="733"/>
      <c r="AE63" s="733"/>
      <c r="AF63" s="734"/>
    </row>
    <row r="64" spans="2:32" ht="22.95" customHeight="1">
      <c r="B64" s="46"/>
      <c r="C64" s="1252">
        <f>ejercicio</f>
        <v>2025</v>
      </c>
      <c r="D64" s="1253"/>
      <c r="E64" s="1253"/>
      <c r="F64" s="1253"/>
      <c r="G64" s="1253"/>
      <c r="H64" s="850"/>
      <c r="I64" s="779">
        <f t="shared" ref="I64:P64" si="5">SUMIFS(I34:I58,$C$34:$C$58,"Capital",$E$34:$E$58,ejercicio)</f>
        <v>0</v>
      </c>
      <c r="J64" s="779">
        <f t="shared" si="5"/>
        <v>0</v>
      </c>
      <c r="K64" s="779">
        <f t="shared" si="5"/>
        <v>0</v>
      </c>
      <c r="L64" s="779">
        <f t="shared" si="5"/>
        <v>0</v>
      </c>
      <c r="M64" s="779">
        <f t="shared" si="5"/>
        <v>0</v>
      </c>
      <c r="N64" s="780">
        <f t="shared" si="5"/>
        <v>0</v>
      </c>
      <c r="O64" s="779">
        <f t="shared" si="5"/>
        <v>0</v>
      </c>
      <c r="P64" s="779">
        <f t="shared" si="5"/>
        <v>0</v>
      </c>
      <c r="Q64" s="38"/>
      <c r="S64" s="732"/>
      <c r="T64" s="733"/>
      <c r="U64" s="733"/>
      <c r="V64" s="733"/>
      <c r="W64" s="733"/>
      <c r="X64" s="733"/>
      <c r="Y64" s="733"/>
      <c r="Z64" s="733"/>
      <c r="AA64" s="733"/>
      <c r="AB64" s="733"/>
      <c r="AC64" s="733"/>
      <c r="AD64" s="733"/>
      <c r="AE64" s="733"/>
      <c r="AF64" s="734"/>
    </row>
    <row r="65" spans="2:32" ht="22.95" customHeight="1" thickBot="1">
      <c r="B65" s="46"/>
      <c r="C65" s="1256" t="s">
        <v>680</v>
      </c>
      <c r="D65" s="1257"/>
      <c r="E65" s="1257"/>
      <c r="F65" s="1257"/>
      <c r="G65" s="1257"/>
      <c r="H65" s="852"/>
      <c r="I65" s="857">
        <f>I63-I64</f>
        <v>0</v>
      </c>
      <c r="J65" s="857">
        <f>J63-J64</f>
        <v>0</v>
      </c>
      <c r="K65" s="857">
        <f t="shared" ref="K65:P65" si="6">K63-K64</f>
        <v>0</v>
      </c>
      <c r="L65" s="857">
        <f t="shared" si="6"/>
        <v>0</v>
      </c>
      <c r="M65" s="857">
        <f t="shared" si="6"/>
        <v>0</v>
      </c>
      <c r="N65" s="858">
        <f>N63-N64</f>
        <v>0</v>
      </c>
      <c r="O65" s="857">
        <f t="shared" si="6"/>
        <v>0</v>
      </c>
      <c r="P65" s="857">
        <f t="shared" si="6"/>
        <v>0</v>
      </c>
      <c r="Q65" s="38"/>
      <c r="S65" s="732"/>
      <c r="T65" s="733"/>
      <c r="U65" s="733"/>
      <c r="V65" s="733"/>
      <c r="W65" s="733"/>
      <c r="X65" s="733"/>
      <c r="Y65" s="733"/>
      <c r="Z65" s="733"/>
      <c r="AA65" s="733"/>
      <c r="AB65" s="733"/>
      <c r="AC65" s="733"/>
      <c r="AD65" s="733"/>
      <c r="AE65" s="733"/>
      <c r="AF65" s="734"/>
    </row>
    <row r="66" spans="2:32" ht="22.95" customHeight="1" thickBot="1">
      <c r="B66" s="46"/>
      <c r="C66" s="1248" t="s">
        <v>682</v>
      </c>
      <c r="D66" s="1249"/>
      <c r="E66" s="1249"/>
      <c r="F66" s="1249"/>
      <c r="G66" s="1249"/>
      <c r="H66" s="73"/>
      <c r="I66" s="105">
        <f>I59+I29</f>
        <v>537134.32999999996</v>
      </c>
      <c r="J66" s="105">
        <f t="shared" ref="J66:P66" si="7">J59+J29</f>
        <v>337534.32999999996</v>
      </c>
      <c r="K66" s="105">
        <f t="shared" si="7"/>
        <v>184600</v>
      </c>
      <c r="L66" s="105">
        <f t="shared" si="7"/>
        <v>0</v>
      </c>
      <c r="M66" s="105">
        <f t="shared" si="7"/>
        <v>-361534.32999999996</v>
      </c>
      <c r="N66" s="1134">
        <f t="shared" si="7"/>
        <v>160600</v>
      </c>
      <c r="O66" s="105">
        <f t="shared" si="7"/>
        <v>160600</v>
      </c>
      <c r="P66" s="105">
        <f t="shared" si="7"/>
        <v>0</v>
      </c>
      <c r="Q66" s="38"/>
      <c r="S66" s="732"/>
      <c r="T66" s="733"/>
      <c r="U66" s="733"/>
      <c r="V66" s="733"/>
      <c r="W66" s="733"/>
      <c r="X66" s="733"/>
      <c r="Y66" s="733"/>
      <c r="Z66" s="733"/>
      <c r="AA66" s="733"/>
      <c r="AB66" s="733"/>
      <c r="AC66" s="733"/>
      <c r="AD66" s="733"/>
      <c r="AE66" s="733"/>
      <c r="AF66" s="734"/>
    </row>
    <row r="67" spans="2:32" ht="22.95" customHeight="1">
      <c r="B67" s="46"/>
      <c r="C67" s="599"/>
      <c r="D67" s="599"/>
      <c r="E67" s="96"/>
      <c r="F67" s="96"/>
      <c r="G67" s="96"/>
      <c r="H67" s="271"/>
      <c r="I67" s="96"/>
      <c r="J67" s="96"/>
      <c r="K67" s="96"/>
      <c r="L67" s="96"/>
      <c r="M67" s="96"/>
      <c r="N67" s="96"/>
      <c r="O67" s="96"/>
      <c r="P67" s="96"/>
      <c r="Q67" s="38"/>
      <c r="S67" s="732"/>
      <c r="T67" s="733"/>
      <c r="U67" s="733"/>
      <c r="V67" s="733"/>
      <c r="W67" s="733"/>
      <c r="X67" s="733"/>
      <c r="Y67" s="733"/>
      <c r="Z67" s="733"/>
      <c r="AA67" s="733"/>
      <c r="AB67" s="733"/>
      <c r="AC67" s="733"/>
      <c r="AD67" s="733"/>
      <c r="AE67" s="733"/>
      <c r="AF67" s="734"/>
    </row>
    <row r="68" spans="2:32" ht="22.95" customHeight="1">
      <c r="B68" s="46"/>
      <c r="C68" s="599"/>
      <c r="D68" s="599"/>
      <c r="E68" s="96"/>
      <c r="F68" s="96"/>
      <c r="G68" s="96"/>
      <c r="H68" s="271"/>
      <c r="I68" s="96"/>
      <c r="J68" s="96"/>
      <c r="K68" s="96"/>
      <c r="L68" s="96"/>
      <c r="M68" s="96"/>
      <c r="N68" s="96"/>
      <c r="O68" s="96"/>
      <c r="P68" s="96"/>
      <c r="Q68" s="38"/>
      <c r="S68" s="732"/>
      <c r="T68" s="733"/>
      <c r="U68" s="733"/>
      <c r="V68" s="733"/>
      <c r="W68" s="733"/>
      <c r="X68" s="733"/>
      <c r="Y68" s="733"/>
      <c r="Z68" s="733"/>
      <c r="AA68" s="733"/>
      <c r="AB68" s="733"/>
      <c r="AC68" s="733"/>
      <c r="AD68" s="733"/>
      <c r="AE68" s="733"/>
      <c r="AF68" s="734"/>
    </row>
    <row r="69" spans="2:32" s="109" customFormat="1" ht="18" customHeight="1">
      <c r="B69" s="353"/>
      <c r="C69" s="265" t="s">
        <v>224</v>
      </c>
      <c r="E69" s="354"/>
      <c r="F69" s="354"/>
      <c r="G69" s="354"/>
      <c r="H69" s="354"/>
      <c r="I69" s="354"/>
      <c r="J69" s="354"/>
      <c r="K69" s="354"/>
      <c r="L69" s="40"/>
      <c r="M69" s="40"/>
      <c r="N69" s="40"/>
      <c r="O69" s="40"/>
      <c r="P69" s="40"/>
      <c r="Q69" s="112"/>
      <c r="S69" s="718"/>
      <c r="T69" s="719"/>
      <c r="U69" s="719"/>
      <c r="V69" s="719"/>
      <c r="W69" s="719"/>
      <c r="X69" s="719"/>
      <c r="Y69" s="719"/>
      <c r="Z69" s="719"/>
      <c r="AA69" s="719"/>
      <c r="AB69" s="719"/>
      <c r="AC69" s="719"/>
      <c r="AD69" s="719"/>
      <c r="AE69" s="719"/>
      <c r="AF69" s="720"/>
    </row>
    <row r="70" spans="2:32" s="109" customFormat="1" ht="18" customHeight="1">
      <c r="B70" s="353"/>
      <c r="C70" s="109" t="s">
        <v>683</v>
      </c>
      <c r="E70" s="354"/>
      <c r="F70" s="354"/>
      <c r="G70" s="354"/>
      <c r="H70" s="354"/>
      <c r="I70" s="354"/>
      <c r="J70" s="354"/>
      <c r="K70" s="354"/>
      <c r="L70" s="40"/>
      <c r="M70" s="40"/>
      <c r="N70" s="40"/>
      <c r="O70" s="40"/>
      <c r="P70" s="40"/>
      <c r="Q70" s="112"/>
      <c r="S70" s="718"/>
      <c r="T70" s="719"/>
      <c r="U70" s="719"/>
      <c r="V70" s="719"/>
      <c r="W70" s="719"/>
      <c r="X70" s="719"/>
      <c r="Y70" s="719"/>
      <c r="Z70" s="719"/>
      <c r="AA70" s="719"/>
      <c r="AB70" s="719"/>
      <c r="AC70" s="719"/>
      <c r="AD70" s="719"/>
      <c r="AE70" s="719"/>
      <c r="AF70" s="720"/>
    </row>
    <row r="71" spans="2:32" s="109" customFormat="1" ht="18" customHeight="1">
      <c r="B71" s="353"/>
      <c r="C71" s="109" t="s">
        <v>684</v>
      </c>
      <c r="E71" s="354"/>
      <c r="F71" s="354"/>
      <c r="G71" s="354"/>
      <c r="H71" s="354"/>
      <c r="I71" s="354"/>
      <c r="J71" s="354"/>
      <c r="K71" s="354"/>
      <c r="L71" s="40"/>
      <c r="M71" s="40"/>
      <c r="N71" s="40"/>
      <c r="O71" s="40"/>
      <c r="P71" s="40"/>
      <c r="Q71" s="112"/>
      <c r="S71" s="718"/>
      <c r="T71" s="719"/>
      <c r="U71" s="719"/>
      <c r="V71" s="719"/>
      <c r="W71" s="719"/>
      <c r="X71" s="719"/>
      <c r="Y71" s="719"/>
      <c r="Z71" s="719"/>
      <c r="AA71" s="719"/>
      <c r="AB71" s="719"/>
      <c r="AC71" s="719"/>
      <c r="AD71" s="719"/>
      <c r="AE71" s="719"/>
      <c r="AF71" s="720"/>
    </row>
    <row r="72" spans="2:32" s="109" customFormat="1" ht="18" customHeight="1">
      <c r="B72" s="353"/>
      <c r="C72" s="355" t="s">
        <v>685</v>
      </c>
      <c r="E72" s="354"/>
      <c r="F72" s="354"/>
      <c r="G72" s="354"/>
      <c r="H72" s="354"/>
      <c r="I72" s="354"/>
      <c r="J72" s="354"/>
      <c r="K72" s="354"/>
      <c r="L72" s="40"/>
      <c r="M72" s="40"/>
      <c r="N72" s="40"/>
      <c r="O72" s="40"/>
      <c r="P72" s="40"/>
      <c r="Q72" s="112"/>
      <c r="S72" s="718"/>
      <c r="T72" s="719"/>
      <c r="U72" s="719"/>
      <c r="V72" s="719"/>
      <c r="W72" s="719"/>
      <c r="X72" s="719"/>
      <c r="Y72" s="719"/>
      <c r="Z72" s="719"/>
      <c r="AA72" s="719"/>
      <c r="AB72" s="719"/>
      <c r="AC72" s="719"/>
      <c r="AD72" s="719"/>
      <c r="AE72" s="719"/>
      <c r="AF72" s="720"/>
    </row>
    <row r="73" spans="2:32" s="109" customFormat="1" ht="18" customHeight="1">
      <c r="B73" s="353"/>
      <c r="C73" s="355" t="s">
        <v>686</v>
      </c>
      <c r="E73" s="354"/>
      <c r="F73" s="354"/>
      <c r="G73" s="354"/>
      <c r="H73" s="354"/>
      <c r="I73" s="354"/>
      <c r="J73" s="354"/>
      <c r="K73" s="354"/>
      <c r="L73" s="40"/>
      <c r="M73" s="40"/>
      <c r="N73" s="40"/>
      <c r="O73" s="40"/>
      <c r="P73" s="40"/>
      <c r="Q73" s="112"/>
      <c r="S73" s="718"/>
      <c r="T73" s="719"/>
      <c r="U73" s="719"/>
      <c r="V73" s="719"/>
      <c r="W73" s="719"/>
      <c r="X73" s="719"/>
      <c r="Y73" s="719"/>
      <c r="Z73" s="719"/>
      <c r="AA73" s="719"/>
      <c r="AB73" s="719"/>
      <c r="AC73" s="719"/>
      <c r="AD73" s="719"/>
      <c r="AE73" s="719"/>
      <c r="AF73" s="720"/>
    </row>
    <row r="74" spans="2:32" s="109" customFormat="1" ht="18" customHeight="1">
      <c r="B74" s="353"/>
      <c r="C74" s="109" t="s">
        <v>687</v>
      </c>
      <c r="E74" s="354"/>
      <c r="F74" s="354"/>
      <c r="G74" s="354"/>
      <c r="H74" s="354"/>
      <c r="I74" s="354"/>
      <c r="J74" s="354"/>
      <c r="K74" s="354"/>
      <c r="L74" s="40"/>
      <c r="M74" s="40"/>
      <c r="N74" s="40"/>
      <c r="O74" s="40"/>
      <c r="P74" s="40"/>
      <c r="Q74" s="112"/>
      <c r="S74" s="718"/>
      <c r="T74" s="719"/>
      <c r="U74" s="719"/>
      <c r="V74" s="719"/>
      <c r="W74" s="719"/>
      <c r="X74" s="719"/>
      <c r="Y74" s="719"/>
      <c r="Z74" s="719"/>
      <c r="AA74" s="719"/>
      <c r="AB74" s="719"/>
      <c r="AC74" s="719"/>
      <c r="AD74" s="719"/>
      <c r="AE74" s="719"/>
      <c r="AF74" s="720"/>
    </row>
    <row r="75" spans="2:32" s="109" customFormat="1" ht="18" customHeight="1">
      <c r="B75" s="353"/>
      <c r="C75" s="355" t="s">
        <v>688</v>
      </c>
      <c r="E75" s="354"/>
      <c r="F75" s="354"/>
      <c r="G75" s="354"/>
      <c r="H75" s="354"/>
      <c r="I75" s="354"/>
      <c r="J75" s="354"/>
      <c r="K75" s="354"/>
      <c r="L75" s="40"/>
      <c r="M75" s="40"/>
      <c r="N75" s="40"/>
      <c r="O75" s="40"/>
      <c r="P75" s="40"/>
      <c r="Q75" s="112"/>
      <c r="S75" s="718"/>
      <c r="T75" s="719"/>
      <c r="U75" s="719"/>
      <c r="V75" s="719"/>
      <c r="W75" s="719"/>
      <c r="X75" s="719"/>
      <c r="Y75" s="719"/>
      <c r="Z75" s="719"/>
      <c r="AA75" s="719"/>
      <c r="AB75" s="719"/>
      <c r="AC75" s="719"/>
      <c r="AD75" s="719"/>
      <c r="AE75" s="719"/>
      <c r="AF75" s="720"/>
    </row>
    <row r="76" spans="2:32" s="109" customFormat="1" ht="18" customHeight="1">
      <c r="B76" s="353"/>
      <c r="C76" s="355" t="s">
        <v>689</v>
      </c>
      <c r="E76" s="356"/>
      <c r="F76" s="356"/>
      <c r="G76" s="356"/>
      <c r="H76" s="356"/>
      <c r="I76" s="356"/>
      <c r="J76" s="356"/>
      <c r="K76" s="356"/>
      <c r="L76" s="40"/>
      <c r="M76" s="40"/>
      <c r="N76" s="40"/>
      <c r="O76" s="40"/>
      <c r="P76" s="40"/>
      <c r="Q76" s="112"/>
      <c r="S76" s="718"/>
      <c r="T76" s="719"/>
      <c r="U76" s="719"/>
      <c r="V76" s="719"/>
      <c r="W76" s="719"/>
      <c r="X76" s="719"/>
      <c r="Y76" s="719"/>
      <c r="Z76" s="719"/>
      <c r="AA76" s="719"/>
      <c r="AB76" s="719"/>
      <c r="AC76" s="719"/>
      <c r="AD76" s="719"/>
      <c r="AE76" s="719"/>
      <c r="AF76" s="720"/>
    </row>
    <row r="77" spans="2:32" s="109" customFormat="1" ht="18" customHeight="1">
      <c r="B77" s="353"/>
      <c r="C77" s="355" t="s">
        <v>690</v>
      </c>
      <c r="E77" s="356"/>
      <c r="F77" s="356"/>
      <c r="G77" s="356"/>
      <c r="H77" s="356"/>
      <c r="I77" s="356"/>
      <c r="J77" s="356"/>
      <c r="K77" s="356"/>
      <c r="L77" s="40"/>
      <c r="M77" s="40"/>
      <c r="N77" s="40"/>
      <c r="O77" s="40"/>
      <c r="P77" s="40"/>
      <c r="Q77" s="112"/>
      <c r="S77" s="718"/>
      <c r="T77" s="719"/>
      <c r="U77" s="719"/>
      <c r="V77" s="719"/>
      <c r="W77" s="719"/>
      <c r="X77" s="719"/>
      <c r="Y77" s="719"/>
      <c r="Z77" s="719"/>
      <c r="AA77" s="719"/>
      <c r="AB77" s="719"/>
      <c r="AC77" s="719"/>
      <c r="AD77" s="719"/>
      <c r="AE77" s="719"/>
      <c r="AF77" s="720"/>
    </row>
    <row r="78" spans="2:32" s="109" customFormat="1" ht="18" customHeight="1">
      <c r="B78" s="353"/>
      <c r="C78" s="355" t="s">
        <v>691</v>
      </c>
      <c r="E78" s="356"/>
      <c r="F78" s="356"/>
      <c r="G78" s="356"/>
      <c r="H78" s="356"/>
      <c r="I78" s="356"/>
      <c r="J78" s="356"/>
      <c r="K78" s="356"/>
      <c r="L78" s="40"/>
      <c r="M78" s="40"/>
      <c r="N78" s="40"/>
      <c r="O78" s="40"/>
      <c r="P78" s="40"/>
      <c r="Q78" s="112"/>
      <c r="S78" s="718"/>
      <c r="T78" s="719"/>
      <c r="U78" s="719"/>
      <c r="V78" s="719"/>
      <c r="W78" s="719"/>
      <c r="X78" s="719"/>
      <c r="Y78" s="719"/>
      <c r="Z78" s="719"/>
      <c r="AA78" s="719"/>
      <c r="AB78" s="719"/>
      <c r="AC78" s="719"/>
      <c r="AD78" s="719"/>
      <c r="AE78" s="719"/>
      <c r="AF78" s="720"/>
    </row>
    <row r="79" spans="2:32" s="109" customFormat="1" ht="18" customHeight="1">
      <c r="B79" s="353"/>
      <c r="C79" s="355" t="s">
        <v>692</v>
      </c>
      <c r="E79" s="356"/>
      <c r="F79" s="356"/>
      <c r="G79" s="356"/>
      <c r="H79" s="356"/>
      <c r="I79" s="356"/>
      <c r="J79" s="356"/>
      <c r="K79" s="356"/>
      <c r="L79" s="40"/>
      <c r="M79" s="40"/>
      <c r="N79" s="40"/>
      <c r="O79" s="40"/>
      <c r="P79" s="40"/>
      <c r="Q79" s="112"/>
      <c r="S79" s="718"/>
      <c r="T79" s="719"/>
      <c r="U79" s="719"/>
      <c r="V79" s="719"/>
      <c r="W79" s="719"/>
      <c r="X79" s="719"/>
      <c r="Y79" s="719"/>
      <c r="Z79" s="719"/>
      <c r="AA79" s="719"/>
      <c r="AB79" s="719"/>
      <c r="AC79" s="719"/>
      <c r="AD79" s="719"/>
      <c r="AE79" s="719"/>
      <c r="AF79" s="720"/>
    </row>
    <row r="80" spans="2:32" s="109" customFormat="1" ht="18" customHeight="1">
      <c r="B80" s="353"/>
      <c r="C80" s="355" t="str">
        <f>"(11) Subtotal de subvenciones reintegrables en las que la Entidad Otorgante reconoce la obligación en el ejercicio "&amp;ejercicio&amp;" y ejercicios anteriores."</f>
        <v>(11) Subtotal de subvenciones reintegrables en las que la Entidad Otorgante reconoce la obligación en el ejercicio 2025 y ejercicios anteriores.</v>
      </c>
      <c r="E80" s="356"/>
      <c r="F80" s="356"/>
      <c r="G80" s="356"/>
      <c r="H80" s="356"/>
      <c r="I80" s="356"/>
      <c r="J80" s="356"/>
      <c r="K80" s="356"/>
      <c r="L80" s="40"/>
      <c r="M80" s="40"/>
      <c r="N80" s="40"/>
      <c r="O80" s="40"/>
      <c r="P80" s="40"/>
      <c r="Q80" s="112"/>
      <c r="S80" s="718"/>
      <c r="T80" s="719"/>
      <c r="U80" s="719"/>
      <c r="V80" s="719"/>
      <c r="W80" s="719"/>
      <c r="X80" s="719"/>
      <c r="Y80" s="719"/>
      <c r="Z80" s="719"/>
      <c r="AA80" s="719"/>
      <c r="AB80" s="719"/>
      <c r="AC80" s="719"/>
      <c r="AD80" s="719"/>
      <c r="AE80" s="719"/>
      <c r="AF80" s="720"/>
    </row>
    <row r="81" spans="2:32" ht="22.95" customHeight="1" thickBot="1">
      <c r="B81" s="49"/>
      <c r="C81" s="1154"/>
      <c r="D81" s="1154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51"/>
      <c r="S81" s="727"/>
      <c r="T81" s="728"/>
      <c r="U81" s="728"/>
      <c r="V81" s="728"/>
      <c r="W81" s="728"/>
      <c r="X81" s="728"/>
      <c r="Y81" s="728"/>
      <c r="Z81" s="728"/>
      <c r="AA81" s="728"/>
      <c r="AB81" s="728"/>
      <c r="AC81" s="728"/>
      <c r="AD81" s="728"/>
      <c r="AE81" s="728"/>
      <c r="AF81" s="729"/>
    </row>
    <row r="82" spans="2:32" ht="22.95" customHeight="1">
      <c r="R82" s="31" t="s">
        <v>179</v>
      </c>
    </row>
    <row r="83" spans="2:32" ht="13.2">
      <c r="C83" s="52" t="s">
        <v>52</v>
      </c>
      <c r="P83" s="29" t="s">
        <v>693</v>
      </c>
    </row>
    <row r="84" spans="2:32" ht="13.2">
      <c r="C84" s="52" t="s">
        <v>54</v>
      </c>
    </row>
    <row r="85" spans="2:32" ht="13.2">
      <c r="C85" s="52" t="s">
        <v>55</v>
      </c>
    </row>
    <row r="86" spans="2:32" ht="13.2">
      <c r="C86" s="52" t="s">
        <v>56</v>
      </c>
    </row>
    <row r="87" spans="2:32" ht="13.2">
      <c r="C87" s="52" t="s">
        <v>57</v>
      </c>
    </row>
  </sheetData>
  <sheetProtection algorithmName="SHA-512" hashValue="5LWOLBg1VjR0/4wi+rzRGm5Qx14hl0XpWLvjLBeqtfUSgeVSmXlADmwKyb8jChUuhvHuMwyTNUGUcVnd7TC0EQ==" saltValue="dhPIK7siVAzLt7UhxCvOYg==" spinCount="100000" sheet="1" insertRows="0"/>
  <mergeCells count="27">
    <mergeCell ref="P6:P7"/>
    <mergeCell ref="D9:P9"/>
    <mergeCell ref="C12:D12"/>
    <mergeCell ref="O32:P32"/>
    <mergeCell ref="C81:D81"/>
    <mergeCell ref="C59:G59"/>
    <mergeCell ref="C60:G60"/>
    <mergeCell ref="C61:G61"/>
    <mergeCell ref="C62:G62"/>
    <mergeCell ref="C63:G63"/>
    <mergeCell ref="C64:G64"/>
    <mergeCell ref="C65:G65"/>
    <mergeCell ref="G17:H17"/>
    <mergeCell ref="O17:P17"/>
    <mergeCell ref="G18:H18"/>
    <mergeCell ref="G19:H19"/>
    <mergeCell ref="G20:H20"/>
    <mergeCell ref="G21:H21"/>
    <mergeCell ref="G22:H22"/>
    <mergeCell ref="G23:H23"/>
    <mergeCell ref="G24:H24"/>
    <mergeCell ref="C66:G66"/>
    <mergeCell ref="G25:H25"/>
    <mergeCell ref="G26:H26"/>
    <mergeCell ref="G27:H27"/>
    <mergeCell ref="G28:H28"/>
    <mergeCell ref="C29:G29"/>
  </mergeCells>
  <dataValidations count="7">
    <dataValidation type="list" allowBlank="1" showInputMessage="1" showErrorMessage="1" sqref="C34:C58 C19:C27" xr:uid="{00000000-0002-0000-0C00-000000000000}">
      <formula1>$AI$34:$AI$35</formula1>
    </dataValidation>
    <dataValidation type="decimal" operator="lessThanOrEqual" allowBlank="1" showInputMessage="1" showErrorMessage="1" errorTitle="Dato erróneo" error="Los datos a incluir en esta columna deben ir en signo negativo" sqref="L34:M58" xr:uid="{00000000-0002-0000-0C00-000001000000}">
      <formula1>0</formula1>
    </dataValidation>
    <dataValidation type="custom" showInputMessage="1" showErrorMessage="1" errorTitle="Incoherencia con año concesión" error="No se pueden introducir datos en esta celda si el año de concesión es diferente al ejercicio presupuestado" sqref="K34:K58" xr:uid="{00000000-0002-0000-0C00-000002000000}">
      <formula1>E34=$K$33</formula1>
    </dataValidation>
    <dataValidation type="decimal" operator="greaterThanOrEqual" allowBlank="1" showInputMessage="1" showErrorMessage="1" errorTitle="Error en signo" error="Las cifras de esta columna deben introducirse con signo positivo" sqref="J19:J28" xr:uid="{00000000-0002-0000-0C00-000003000000}">
      <formula1>0</formula1>
    </dataValidation>
    <dataValidation type="decimal" operator="lessThanOrEqual" allowBlank="1" showInputMessage="1" showErrorMessage="1" errorTitle="Error en signo" error="Las cifras de esta columna deben introducirse con signo negativo" sqref="L19:M28" xr:uid="{00000000-0002-0000-0C00-000004000000}">
      <formula1>0</formula1>
    </dataValidation>
    <dataValidation type="custom" operator="greaterThanOrEqual" showInputMessage="1" showErrorMessage="1" errorTitle="Incoherencia con año concesión" error="No se pueden introducir datos en esta celda si el año de concesión es diferente al ejercicio presupuestado_x000a_" sqref="K19:K28" xr:uid="{00000000-0002-0000-0C00-000005000000}">
      <formula1>E19=#REF!</formula1>
    </dataValidation>
    <dataValidation type="list" allowBlank="1" showInputMessage="1" showErrorMessage="1" sqref="C28" xr:uid="{00000000-0002-0000-0C00-000006000000}">
      <formula1>#REF!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33" orientation="portrait" horizontalDpi="4294967292" verticalDpi="4294967292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2:AI93"/>
  <sheetViews>
    <sheetView topLeftCell="A18" zoomScale="80" zoomScaleNormal="80" zoomScalePageLayoutView="125" workbookViewId="0">
      <selection activeCell="M51" sqref="M51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26.54296875" style="31" customWidth="1"/>
    <col min="5" max="6" width="13.453125" style="32" customWidth="1"/>
    <col min="7" max="7" width="20" style="32" customWidth="1"/>
    <col min="8" max="8" width="13.453125" style="32" customWidth="1"/>
    <col min="9" max="9" width="11.1796875" style="32" customWidth="1"/>
    <col min="10" max="10" width="16" style="32" customWidth="1"/>
    <col min="11" max="12" width="15.81640625" style="32" customWidth="1"/>
    <col min="13" max="13" width="16.54296875" style="32" customWidth="1"/>
    <col min="14" max="14" width="17" style="32" customWidth="1"/>
    <col min="15" max="19" width="15.81640625" style="32" customWidth="1"/>
    <col min="20" max="20" width="3.453125" style="31" customWidth="1"/>
    <col min="21" max="21" width="10.54296875" style="31"/>
    <col min="22" max="22" width="11.1796875" style="31" bestFit="1" customWidth="1"/>
    <col min="23" max="16384" width="10.54296875" style="31"/>
  </cols>
  <sheetData>
    <row r="2" spans="1:35" ht="22.95" customHeight="1">
      <c r="D2" s="318" t="str">
        <f>_GENERAL!D2</f>
        <v>Área de la Presidenta: Igualdad y Diversidad, Hacienda y Proyectos Estratégicos</v>
      </c>
    </row>
    <row r="3" spans="1:35" ht="22.95" customHeight="1">
      <c r="D3" s="318" t="str">
        <f>_GENERAL!D3</f>
        <v>Dirección Insular de Hacienda</v>
      </c>
    </row>
    <row r="4" spans="1:35" ht="22.95" customHeight="1" thickBot="1">
      <c r="A4" s="31" t="s">
        <v>129</v>
      </c>
    </row>
    <row r="5" spans="1:35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6"/>
      <c r="V5" s="700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2"/>
    </row>
    <row r="6" spans="1:35" ht="30" customHeight="1">
      <c r="B6" s="37"/>
      <c r="C6" s="28" t="s">
        <v>2</v>
      </c>
      <c r="S6" s="1138">
        <f>ejercicio</f>
        <v>2025</v>
      </c>
      <c r="T6" s="38"/>
      <c r="V6" s="163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6"/>
    </row>
    <row r="7" spans="1:35" ht="30" customHeight="1">
      <c r="B7" s="37"/>
      <c r="C7" s="28" t="s">
        <v>3</v>
      </c>
      <c r="S7" s="1138"/>
      <c r="T7" s="38"/>
      <c r="V7" s="167"/>
      <c r="W7" s="164" t="s">
        <v>130</v>
      </c>
      <c r="X7" s="168"/>
      <c r="Y7" s="168"/>
      <c r="Z7" s="168"/>
      <c r="AA7" s="168"/>
      <c r="AB7" s="168"/>
      <c r="AC7" s="168"/>
      <c r="AD7" s="168"/>
      <c r="AE7" s="168"/>
      <c r="AF7" s="168"/>
      <c r="AG7" s="168"/>
      <c r="AH7" s="168"/>
      <c r="AI7" s="169"/>
    </row>
    <row r="8" spans="1:35" ht="30" customHeight="1">
      <c r="B8" s="37"/>
      <c r="C8" s="39"/>
      <c r="T8" s="38"/>
      <c r="V8" s="732"/>
      <c r="W8" s="733"/>
      <c r="X8" s="733"/>
      <c r="Y8" s="733"/>
      <c r="Z8" s="733"/>
      <c r="AA8" s="733"/>
      <c r="AB8" s="733"/>
      <c r="AC8" s="733"/>
      <c r="AD8" s="733"/>
      <c r="AE8" s="733"/>
      <c r="AF8" s="733"/>
      <c r="AG8" s="733"/>
      <c r="AH8" s="733"/>
      <c r="AI8" s="734"/>
    </row>
    <row r="9" spans="1:35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1155"/>
      <c r="Q9" s="1155"/>
      <c r="R9" s="1155"/>
      <c r="S9" s="1155"/>
      <c r="T9" s="825"/>
      <c r="U9" s="892"/>
      <c r="V9" s="732"/>
      <c r="W9" s="733"/>
      <c r="X9" s="733"/>
      <c r="Y9" s="733"/>
      <c r="Z9" s="733"/>
      <c r="AA9" s="733"/>
      <c r="AB9" s="733"/>
      <c r="AC9" s="733"/>
      <c r="AD9" s="733"/>
      <c r="AE9" s="733"/>
      <c r="AF9" s="733"/>
      <c r="AG9" s="733"/>
      <c r="AH9" s="733"/>
      <c r="AI9" s="734"/>
    </row>
    <row r="10" spans="1:35" ht="7.2" customHeight="1">
      <c r="B10" s="37"/>
      <c r="T10" s="38"/>
      <c r="V10" s="732"/>
      <c r="W10" s="733"/>
      <c r="X10" s="733"/>
      <c r="Y10" s="733"/>
      <c r="Z10" s="733"/>
      <c r="AA10" s="733"/>
      <c r="AB10" s="733"/>
      <c r="AC10" s="733"/>
      <c r="AD10" s="733"/>
      <c r="AE10" s="733"/>
      <c r="AF10" s="733"/>
      <c r="AG10" s="733"/>
      <c r="AH10" s="733"/>
      <c r="AI10" s="734"/>
    </row>
    <row r="11" spans="1:35" s="45" customFormat="1" ht="30" customHeight="1">
      <c r="B11" s="41"/>
      <c r="C11" s="42" t="s">
        <v>641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4"/>
      <c r="V11" s="732"/>
      <c r="W11" s="733"/>
      <c r="X11" s="733"/>
      <c r="Y11" s="733"/>
      <c r="Z11" s="733"/>
      <c r="AA11" s="733"/>
      <c r="AB11" s="733"/>
      <c r="AC11" s="733"/>
      <c r="AD11" s="733"/>
      <c r="AE11" s="733"/>
      <c r="AF11" s="733"/>
      <c r="AG11" s="733"/>
      <c r="AH11" s="733"/>
      <c r="AI11" s="734"/>
    </row>
    <row r="12" spans="1:35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44"/>
      <c r="V12" s="732"/>
      <c r="W12" s="733"/>
      <c r="X12" s="733"/>
      <c r="Y12" s="733"/>
      <c r="Z12" s="733"/>
      <c r="AA12" s="733"/>
      <c r="AB12" s="733"/>
      <c r="AC12" s="733"/>
      <c r="AD12" s="733"/>
      <c r="AE12" s="733"/>
      <c r="AF12" s="733"/>
      <c r="AG12" s="733"/>
      <c r="AH12" s="733"/>
      <c r="AI12" s="734"/>
    </row>
    <row r="13" spans="1:35" ht="28.95" customHeight="1">
      <c r="B13" s="46"/>
      <c r="C13" s="27" t="s">
        <v>694</v>
      </c>
      <c r="D13" s="571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8"/>
      <c r="V13" s="732"/>
      <c r="W13" s="733"/>
      <c r="X13" s="733"/>
      <c r="Y13" s="733"/>
      <c r="Z13" s="733"/>
      <c r="AA13" s="733"/>
      <c r="AB13" s="733"/>
      <c r="AC13" s="733"/>
      <c r="AD13" s="733"/>
      <c r="AE13" s="733"/>
      <c r="AF13" s="733"/>
      <c r="AG13" s="733"/>
      <c r="AH13" s="733"/>
      <c r="AI13" s="734"/>
    </row>
    <row r="14" spans="1:35" ht="9" customHeight="1">
      <c r="B14" s="46"/>
      <c r="C14" s="571"/>
      <c r="D14" s="571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8"/>
      <c r="V14" s="732"/>
      <c r="W14" s="733"/>
      <c r="X14" s="733"/>
      <c r="Y14" s="733"/>
      <c r="Z14" s="733"/>
      <c r="AA14" s="733"/>
      <c r="AB14" s="733"/>
      <c r="AC14" s="733"/>
      <c r="AD14" s="733"/>
      <c r="AE14" s="733"/>
      <c r="AF14" s="733"/>
      <c r="AG14" s="733"/>
      <c r="AH14" s="733"/>
      <c r="AI14" s="734"/>
    </row>
    <row r="15" spans="1:35" ht="22.95" customHeight="1">
      <c r="B15" s="46"/>
      <c r="C15" s="571"/>
      <c r="D15" s="571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8"/>
      <c r="V15" s="732"/>
      <c r="W15" s="733"/>
      <c r="X15" s="733"/>
      <c r="Y15" s="733"/>
      <c r="Z15" s="733"/>
      <c r="AA15" s="733"/>
      <c r="AB15" s="733"/>
      <c r="AC15" s="733"/>
      <c r="AD15" s="733"/>
      <c r="AE15" s="733"/>
      <c r="AF15" s="733"/>
      <c r="AG15" s="733"/>
      <c r="AH15" s="733"/>
      <c r="AI15" s="734"/>
    </row>
    <row r="16" spans="1:35" ht="39" customHeight="1">
      <c r="B16" s="46"/>
      <c r="C16" s="83" t="s">
        <v>695</v>
      </c>
      <c r="D16" s="111" t="s">
        <v>696</v>
      </c>
      <c r="E16" s="83" t="s">
        <v>697</v>
      </c>
      <c r="F16" s="83" t="s">
        <v>697</v>
      </c>
      <c r="G16" s="83" t="s">
        <v>648</v>
      </c>
      <c r="H16" s="83" t="s">
        <v>664</v>
      </c>
      <c r="I16" s="83" t="s">
        <v>698</v>
      </c>
      <c r="J16" s="83" t="s">
        <v>699</v>
      </c>
      <c r="K16" s="83" t="s">
        <v>700</v>
      </c>
      <c r="L16" s="83" t="s">
        <v>653</v>
      </c>
      <c r="M16" s="347" t="s">
        <v>701</v>
      </c>
      <c r="N16" s="83" t="s">
        <v>702</v>
      </c>
      <c r="O16" s="83" t="s">
        <v>703</v>
      </c>
      <c r="P16" s="348" t="s">
        <v>704</v>
      </c>
      <c r="Q16" s="83" t="s">
        <v>653</v>
      </c>
      <c r="R16" s="1218" t="s">
        <v>668</v>
      </c>
      <c r="S16" s="1219"/>
      <c r="T16" s="38"/>
      <c r="V16" s="732"/>
      <c r="W16" s="733"/>
      <c r="X16" s="733"/>
      <c r="Y16" s="733"/>
      <c r="Z16" s="733"/>
      <c r="AA16" s="733"/>
      <c r="AB16" s="733"/>
      <c r="AC16" s="733"/>
      <c r="AD16" s="733"/>
      <c r="AE16" s="733"/>
      <c r="AF16" s="733"/>
      <c r="AG16" s="733"/>
      <c r="AH16" s="733"/>
      <c r="AI16" s="734"/>
    </row>
    <row r="17" spans="2:35" ht="22.95" customHeight="1">
      <c r="B17" s="46"/>
      <c r="C17" s="115" t="s">
        <v>705</v>
      </c>
      <c r="D17" s="116" t="s">
        <v>705</v>
      </c>
      <c r="E17" s="115" t="s">
        <v>706</v>
      </c>
      <c r="F17" s="115" t="s">
        <v>707</v>
      </c>
      <c r="G17" s="115" t="s">
        <v>708</v>
      </c>
      <c r="H17" s="115" t="s">
        <v>670</v>
      </c>
      <c r="I17" s="115" t="s">
        <v>709</v>
      </c>
      <c r="J17" s="115" t="s">
        <v>710</v>
      </c>
      <c r="K17" s="115" t="s">
        <v>711</v>
      </c>
      <c r="L17" s="115">
        <f>ejercicio-1</f>
        <v>2024</v>
      </c>
      <c r="M17" s="115">
        <f>ejercicio</f>
        <v>2025</v>
      </c>
      <c r="N17" s="115">
        <f>ejercicio</f>
        <v>2025</v>
      </c>
      <c r="O17" s="115">
        <f>ejercicio</f>
        <v>2025</v>
      </c>
      <c r="P17" s="115">
        <f>ejercicio</f>
        <v>2025</v>
      </c>
      <c r="Q17" s="115">
        <f>ejercicio</f>
        <v>2025</v>
      </c>
      <c r="R17" s="349" t="s">
        <v>712</v>
      </c>
      <c r="S17" s="350" t="s">
        <v>713</v>
      </c>
      <c r="T17" s="38"/>
      <c r="V17" s="732"/>
      <c r="W17" s="733"/>
      <c r="X17" s="733"/>
      <c r="Y17" s="733"/>
      <c r="Z17" s="733"/>
      <c r="AA17" s="733"/>
      <c r="AB17" s="733"/>
      <c r="AC17" s="733"/>
      <c r="AD17" s="733"/>
      <c r="AE17" s="733"/>
      <c r="AF17" s="733"/>
      <c r="AG17" s="733"/>
      <c r="AH17" s="733"/>
      <c r="AI17" s="734"/>
    </row>
    <row r="18" spans="2:35" ht="22.95" customHeight="1">
      <c r="B18" s="46"/>
      <c r="C18" s="641">
        <v>1</v>
      </c>
      <c r="D18" s="337"/>
      <c r="E18" s="1031"/>
      <c r="F18" s="1031"/>
      <c r="G18" s="640"/>
      <c r="H18" s="641"/>
      <c r="I18" s="641"/>
      <c r="J18" s="274"/>
      <c r="K18" s="357"/>
      <c r="L18" s="357"/>
      <c r="M18" s="642"/>
      <c r="N18" s="642"/>
      <c r="O18" s="642"/>
      <c r="P18" s="643"/>
      <c r="Q18" s="351">
        <f>L18+M18+N18</f>
        <v>0</v>
      </c>
      <c r="R18" s="644"/>
      <c r="S18" s="645"/>
      <c r="T18" s="38"/>
      <c r="V18" s="732"/>
      <c r="W18" s="733"/>
      <c r="X18" s="733"/>
      <c r="Y18" s="733"/>
      <c r="Z18" s="733"/>
      <c r="AA18" s="733"/>
      <c r="AB18" s="733"/>
      <c r="AC18" s="733"/>
      <c r="AD18" s="733"/>
      <c r="AE18" s="733"/>
      <c r="AF18" s="733"/>
      <c r="AG18" s="733"/>
      <c r="AH18" s="733"/>
      <c r="AI18" s="734"/>
    </row>
    <row r="19" spans="2:35" ht="22.95" customHeight="1">
      <c r="B19" s="46"/>
      <c r="C19" s="641">
        <v>2</v>
      </c>
      <c r="D19" s="337"/>
      <c r="E19" s="1031"/>
      <c r="F19" s="1031"/>
      <c r="G19" s="640"/>
      <c r="H19" s="641"/>
      <c r="I19" s="641"/>
      <c r="J19" s="641"/>
      <c r="K19" s="357"/>
      <c r="L19" s="357"/>
      <c r="M19" s="357"/>
      <c r="N19" s="357"/>
      <c r="O19" s="357"/>
      <c r="P19" s="643"/>
      <c r="Q19" s="351">
        <f t="shared" ref="Q19:Q27" si="0">L19+M19+N19</f>
        <v>0</v>
      </c>
      <c r="R19" s="646"/>
      <c r="S19" s="647"/>
      <c r="T19" s="38"/>
      <c r="V19" s="732"/>
      <c r="W19" s="733"/>
      <c r="X19" s="733"/>
      <c r="Y19" s="733"/>
      <c r="Z19" s="733"/>
      <c r="AA19" s="733"/>
      <c r="AB19" s="733"/>
      <c r="AC19" s="733"/>
      <c r="AD19" s="733"/>
      <c r="AE19" s="733"/>
      <c r="AF19" s="733"/>
      <c r="AG19" s="733"/>
      <c r="AH19" s="733"/>
      <c r="AI19" s="734"/>
    </row>
    <row r="20" spans="2:35" ht="22.95" customHeight="1">
      <c r="B20" s="46"/>
      <c r="C20" s="641">
        <v>3</v>
      </c>
      <c r="D20" s="337"/>
      <c r="E20" s="1031"/>
      <c r="F20" s="1031"/>
      <c r="G20" s="640"/>
      <c r="H20" s="641"/>
      <c r="I20" s="641"/>
      <c r="J20" s="641"/>
      <c r="K20" s="357"/>
      <c r="L20" s="357"/>
      <c r="M20" s="357"/>
      <c r="N20" s="357"/>
      <c r="O20" s="357"/>
      <c r="P20" s="643"/>
      <c r="Q20" s="351">
        <f t="shared" si="0"/>
        <v>0</v>
      </c>
      <c r="R20" s="646"/>
      <c r="S20" s="647"/>
      <c r="T20" s="38"/>
      <c r="V20" s="732"/>
      <c r="W20" s="733"/>
      <c r="X20" s="733"/>
      <c r="Y20" s="733"/>
      <c r="Z20" s="733"/>
      <c r="AA20" s="733"/>
      <c r="AB20" s="733"/>
      <c r="AC20" s="733"/>
      <c r="AD20" s="733"/>
      <c r="AE20" s="733"/>
      <c r="AF20" s="733"/>
      <c r="AG20" s="733"/>
      <c r="AH20" s="733"/>
      <c r="AI20" s="734"/>
    </row>
    <row r="21" spans="2:35" ht="22.95" customHeight="1">
      <c r="B21" s="46"/>
      <c r="C21" s="641">
        <v>4</v>
      </c>
      <c r="D21" s="337"/>
      <c r="E21" s="1031"/>
      <c r="F21" s="1031"/>
      <c r="G21" s="640"/>
      <c r="H21" s="641"/>
      <c r="I21" s="641"/>
      <c r="J21" s="641"/>
      <c r="K21" s="357"/>
      <c r="L21" s="357"/>
      <c r="M21" s="357"/>
      <c r="N21" s="357"/>
      <c r="O21" s="357"/>
      <c r="P21" s="643"/>
      <c r="Q21" s="351">
        <f t="shared" si="0"/>
        <v>0</v>
      </c>
      <c r="R21" s="646"/>
      <c r="S21" s="647"/>
      <c r="T21" s="38"/>
      <c r="V21" s="732"/>
      <c r="W21" s="733"/>
      <c r="X21" s="733"/>
      <c r="Y21" s="733"/>
      <c r="Z21" s="733"/>
      <c r="AA21" s="733"/>
      <c r="AB21" s="733"/>
      <c r="AC21" s="733"/>
      <c r="AD21" s="733"/>
      <c r="AE21" s="733"/>
      <c r="AF21" s="733"/>
      <c r="AG21" s="733"/>
      <c r="AH21" s="733"/>
      <c r="AI21" s="734"/>
    </row>
    <row r="22" spans="2:35" ht="22.95" customHeight="1">
      <c r="B22" s="46"/>
      <c r="C22" s="641">
        <v>5</v>
      </c>
      <c r="D22" s="337"/>
      <c r="E22" s="1031"/>
      <c r="F22" s="1031"/>
      <c r="G22" s="640"/>
      <c r="H22" s="641"/>
      <c r="I22" s="641"/>
      <c r="J22" s="641"/>
      <c r="K22" s="357"/>
      <c r="L22" s="357"/>
      <c r="M22" s="357"/>
      <c r="N22" s="357"/>
      <c r="O22" s="357"/>
      <c r="P22" s="643"/>
      <c r="Q22" s="351">
        <f t="shared" si="0"/>
        <v>0</v>
      </c>
      <c r="R22" s="646"/>
      <c r="S22" s="647"/>
      <c r="T22" s="38"/>
      <c r="V22" s="732"/>
      <c r="W22" s="733"/>
      <c r="X22" s="733"/>
      <c r="Y22" s="733"/>
      <c r="Z22" s="733"/>
      <c r="AA22" s="733"/>
      <c r="AB22" s="733"/>
      <c r="AC22" s="733"/>
      <c r="AD22" s="733"/>
      <c r="AE22" s="733"/>
      <c r="AF22" s="733"/>
      <c r="AG22" s="733"/>
      <c r="AH22" s="733"/>
      <c r="AI22" s="734"/>
    </row>
    <row r="23" spans="2:35" ht="22.95" customHeight="1">
      <c r="B23" s="46"/>
      <c r="C23" s="641">
        <v>6</v>
      </c>
      <c r="D23" s="337"/>
      <c r="E23" s="1031"/>
      <c r="F23" s="1031"/>
      <c r="G23" s="640"/>
      <c r="H23" s="641"/>
      <c r="I23" s="641"/>
      <c r="J23" s="641"/>
      <c r="K23" s="357"/>
      <c r="L23" s="357"/>
      <c r="M23" s="357"/>
      <c r="N23" s="357"/>
      <c r="O23" s="357"/>
      <c r="P23" s="643"/>
      <c r="Q23" s="351">
        <f t="shared" si="0"/>
        <v>0</v>
      </c>
      <c r="R23" s="646"/>
      <c r="S23" s="647"/>
      <c r="T23" s="38"/>
      <c r="V23" s="732"/>
      <c r="W23" s="733"/>
      <c r="X23" s="733"/>
      <c r="Y23" s="733"/>
      <c r="Z23" s="733"/>
      <c r="AA23" s="733"/>
      <c r="AB23" s="733"/>
      <c r="AC23" s="733"/>
      <c r="AD23" s="733"/>
      <c r="AE23" s="733"/>
      <c r="AF23" s="733"/>
      <c r="AG23" s="733"/>
      <c r="AH23" s="733"/>
      <c r="AI23" s="734"/>
    </row>
    <row r="24" spans="2:35" ht="22.95" customHeight="1">
      <c r="B24" s="46"/>
      <c r="C24" s="641">
        <v>7</v>
      </c>
      <c r="D24" s="337"/>
      <c r="E24" s="1031"/>
      <c r="F24" s="1031"/>
      <c r="G24" s="640"/>
      <c r="H24" s="641"/>
      <c r="I24" s="641"/>
      <c r="J24" s="641"/>
      <c r="K24" s="357"/>
      <c r="L24" s="357"/>
      <c r="M24" s="357"/>
      <c r="N24" s="357"/>
      <c r="O24" s="357"/>
      <c r="P24" s="643"/>
      <c r="Q24" s="351">
        <f t="shared" si="0"/>
        <v>0</v>
      </c>
      <c r="R24" s="646"/>
      <c r="S24" s="647"/>
      <c r="T24" s="38"/>
      <c r="V24" s="732"/>
      <c r="W24" s="733"/>
      <c r="X24" s="733"/>
      <c r="Y24" s="733"/>
      <c r="Z24" s="733"/>
      <c r="AA24" s="733"/>
      <c r="AB24" s="733"/>
      <c r="AC24" s="733"/>
      <c r="AD24" s="733"/>
      <c r="AE24" s="733"/>
      <c r="AF24" s="733"/>
      <c r="AG24" s="733"/>
      <c r="AH24" s="733"/>
      <c r="AI24" s="734"/>
    </row>
    <row r="25" spans="2:35" ht="22.95" customHeight="1">
      <c r="B25" s="46"/>
      <c r="C25" s="641">
        <v>8</v>
      </c>
      <c r="D25" s="337"/>
      <c r="E25" s="1031"/>
      <c r="F25" s="1031"/>
      <c r="G25" s="640"/>
      <c r="H25" s="641"/>
      <c r="I25" s="641"/>
      <c r="J25" s="641"/>
      <c r="K25" s="357"/>
      <c r="L25" s="357"/>
      <c r="M25" s="357"/>
      <c r="N25" s="357"/>
      <c r="O25" s="357"/>
      <c r="P25" s="643"/>
      <c r="Q25" s="351">
        <f t="shared" si="0"/>
        <v>0</v>
      </c>
      <c r="R25" s="646"/>
      <c r="S25" s="647"/>
      <c r="T25" s="38"/>
      <c r="V25" s="732"/>
      <c r="W25" s="733"/>
      <c r="X25" s="733"/>
      <c r="Y25" s="733"/>
      <c r="Z25" s="733"/>
      <c r="AA25" s="733"/>
      <c r="AB25" s="733"/>
      <c r="AC25" s="733"/>
      <c r="AD25" s="733"/>
      <c r="AE25" s="733"/>
      <c r="AF25" s="733"/>
      <c r="AG25" s="733"/>
      <c r="AH25" s="733"/>
      <c r="AI25" s="734"/>
    </row>
    <row r="26" spans="2:35" ht="22.95" customHeight="1">
      <c r="B26" s="46"/>
      <c r="C26" s="641">
        <v>9</v>
      </c>
      <c r="D26" s="337"/>
      <c r="E26" s="1031"/>
      <c r="F26" s="1031"/>
      <c r="G26" s="640"/>
      <c r="H26" s="641"/>
      <c r="I26" s="641"/>
      <c r="J26" s="641"/>
      <c r="K26" s="357"/>
      <c r="L26" s="357"/>
      <c r="M26" s="357"/>
      <c r="N26" s="357"/>
      <c r="O26" s="357"/>
      <c r="P26" s="643"/>
      <c r="Q26" s="351">
        <f t="shared" si="0"/>
        <v>0</v>
      </c>
      <c r="R26" s="646"/>
      <c r="S26" s="647"/>
      <c r="T26" s="38"/>
      <c r="V26" s="732"/>
      <c r="W26" s="733"/>
      <c r="X26" s="733"/>
      <c r="Y26" s="733"/>
      <c r="Z26" s="733"/>
      <c r="AA26" s="733"/>
      <c r="AB26" s="733"/>
      <c r="AC26" s="733"/>
      <c r="AD26" s="733"/>
      <c r="AE26" s="733"/>
      <c r="AF26" s="733"/>
      <c r="AG26" s="733"/>
      <c r="AH26" s="733"/>
      <c r="AI26" s="734"/>
    </row>
    <row r="27" spans="2:35" ht="22.95" customHeight="1">
      <c r="B27" s="46"/>
      <c r="C27" s="641">
        <v>10</v>
      </c>
      <c r="D27" s="337"/>
      <c r="E27" s="1031"/>
      <c r="F27" s="1031"/>
      <c r="G27" s="640"/>
      <c r="H27" s="641"/>
      <c r="I27" s="641"/>
      <c r="J27" s="641"/>
      <c r="K27" s="357"/>
      <c r="L27" s="357"/>
      <c r="M27" s="357"/>
      <c r="N27" s="357"/>
      <c r="O27" s="357"/>
      <c r="P27" s="643"/>
      <c r="Q27" s="351">
        <f t="shared" si="0"/>
        <v>0</v>
      </c>
      <c r="R27" s="646"/>
      <c r="S27" s="647"/>
      <c r="T27" s="38"/>
      <c r="V27" s="732"/>
      <c r="W27" s="733"/>
      <c r="X27" s="733"/>
      <c r="Y27" s="733"/>
      <c r="Z27" s="733"/>
      <c r="AA27" s="733"/>
      <c r="AB27" s="733"/>
      <c r="AC27" s="733"/>
      <c r="AD27" s="733"/>
      <c r="AE27" s="733"/>
      <c r="AF27" s="733"/>
      <c r="AG27" s="733"/>
      <c r="AH27" s="733"/>
      <c r="AI27" s="734"/>
    </row>
    <row r="28" spans="2:35" ht="22.95" customHeight="1" thickBot="1">
      <c r="B28" s="46"/>
      <c r="C28" s="599"/>
      <c r="D28" s="599"/>
      <c r="E28" s="96"/>
      <c r="F28" s="96"/>
      <c r="G28" s="96"/>
      <c r="H28" s="1264" t="s">
        <v>714</v>
      </c>
      <c r="I28" s="1265"/>
      <c r="J28" s="1266"/>
      <c r="K28" s="105">
        <f t="shared" ref="K28:S28" si="1">SUM(K18:K27)</f>
        <v>0</v>
      </c>
      <c r="L28" s="101">
        <f t="shared" si="1"/>
        <v>0</v>
      </c>
      <c r="M28" s="104">
        <f t="shared" si="1"/>
        <v>0</v>
      </c>
      <c r="N28" s="104">
        <f t="shared" si="1"/>
        <v>0</v>
      </c>
      <c r="O28" s="105">
        <f t="shared" si="1"/>
        <v>0</v>
      </c>
      <c r="P28" s="105">
        <f t="shared" si="1"/>
        <v>0</v>
      </c>
      <c r="Q28" s="352">
        <f t="shared" si="1"/>
        <v>0</v>
      </c>
      <c r="R28" s="104">
        <f t="shared" si="1"/>
        <v>0</v>
      </c>
      <c r="S28" s="69">
        <f t="shared" si="1"/>
        <v>0</v>
      </c>
      <c r="T28" s="38"/>
      <c r="V28" s="735"/>
      <c r="W28" s="733"/>
      <c r="X28" s="733"/>
      <c r="Y28" s="733"/>
      <c r="Z28" s="733"/>
      <c r="AA28" s="733"/>
      <c r="AB28" s="733"/>
      <c r="AC28" s="733"/>
      <c r="AD28" s="733"/>
      <c r="AE28" s="733"/>
      <c r="AF28" s="733"/>
      <c r="AG28" s="733"/>
      <c r="AH28" s="733"/>
      <c r="AI28" s="734"/>
    </row>
    <row r="29" spans="2:35" ht="22.95" customHeight="1">
      <c r="B29" s="46"/>
      <c r="C29" s="599"/>
      <c r="D29" s="599"/>
      <c r="E29" s="96"/>
      <c r="F29" s="96"/>
      <c r="G29" s="96"/>
      <c r="H29" s="271"/>
      <c r="I29" s="271"/>
      <c r="J29" s="271"/>
      <c r="K29" s="96"/>
      <c r="L29" s="96"/>
      <c r="M29" s="96"/>
      <c r="N29" s="96"/>
      <c r="O29" s="96"/>
      <c r="P29" s="96"/>
      <c r="Q29" s="96"/>
      <c r="R29" s="96"/>
      <c r="S29" s="96"/>
      <c r="T29" s="38"/>
      <c r="V29" s="735"/>
      <c r="W29" s="733"/>
      <c r="X29" s="733"/>
      <c r="Y29" s="733"/>
      <c r="Z29" s="733"/>
      <c r="AA29" s="733"/>
      <c r="AB29" s="733"/>
      <c r="AC29" s="733"/>
      <c r="AD29" s="733"/>
      <c r="AE29" s="733"/>
      <c r="AF29" s="733"/>
      <c r="AG29" s="733"/>
      <c r="AH29" s="733"/>
      <c r="AI29" s="734"/>
    </row>
    <row r="30" spans="2:35" ht="22.95" customHeight="1">
      <c r="B30" s="46"/>
      <c r="C30" s="27" t="s">
        <v>715</v>
      </c>
      <c r="D30" s="571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8"/>
      <c r="V30" s="732"/>
      <c r="W30" s="733"/>
      <c r="X30" s="733"/>
      <c r="Y30" s="733"/>
      <c r="Z30" s="733"/>
      <c r="AA30" s="733"/>
      <c r="AB30" s="733"/>
      <c r="AC30" s="733"/>
      <c r="AD30" s="733"/>
      <c r="AE30" s="733"/>
      <c r="AF30" s="733"/>
      <c r="AG30" s="733"/>
      <c r="AH30" s="733"/>
      <c r="AI30" s="734"/>
    </row>
    <row r="31" spans="2:35" ht="22.95" customHeight="1">
      <c r="B31" s="46"/>
      <c r="C31" s="571"/>
      <c r="D31" s="571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8"/>
      <c r="V31" s="732"/>
      <c r="W31" s="733"/>
      <c r="X31" s="733"/>
      <c r="Y31" s="733"/>
      <c r="Z31" s="733"/>
      <c r="AA31" s="733"/>
      <c r="AB31" s="733"/>
      <c r="AC31" s="733"/>
      <c r="AD31" s="733"/>
      <c r="AE31" s="733"/>
      <c r="AF31" s="733"/>
      <c r="AG31" s="733"/>
      <c r="AH31" s="733"/>
      <c r="AI31" s="734"/>
    </row>
    <row r="32" spans="2:35" ht="22.95" customHeight="1">
      <c r="B32" s="46"/>
      <c r="C32" s="634" t="s">
        <v>716</v>
      </c>
      <c r="D32" s="635"/>
      <c r="E32" s="636"/>
      <c r="F32" s="636"/>
      <c r="G32" s="636"/>
      <c r="H32" s="636"/>
      <c r="I32" s="636"/>
      <c r="J32" s="636"/>
      <c r="K32" s="636"/>
      <c r="L32" s="636"/>
      <c r="M32" s="636"/>
      <c r="N32" s="636"/>
      <c r="O32" s="636"/>
      <c r="P32" s="636"/>
      <c r="Q32" s="636"/>
      <c r="R32" s="636"/>
      <c r="S32" s="637"/>
      <c r="T32" s="38"/>
      <c r="V32" s="732"/>
      <c r="W32" s="733"/>
      <c r="X32" s="733"/>
      <c r="Y32" s="733"/>
      <c r="Z32" s="733"/>
      <c r="AA32" s="733"/>
      <c r="AB32" s="733"/>
      <c r="AC32" s="733"/>
      <c r="AD32" s="733"/>
      <c r="AE32" s="733"/>
      <c r="AF32" s="733"/>
      <c r="AG32" s="733"/>
      <c r="AH32" s="733"/>
      <c r="AI32" s="734"/>
    </row>
    <row r="33" spans="2:35" ht="49.95" customHeight="1">
      <c r="B33" s="46"/>
      <c r="C33" s="83" t="s">
        <v>695</v>
      </c>
      <c r="D33" s="111" t="s">
        <v>696</v>
      </c>
      <c r="E33" s="83" t="s">
        <v>697</v>
      </c>
      <c r="F33" s="83" t="s">
        <v>697</v>
      </c>
      <c r="G33" s="83" t="s">
        <v>648</v>
      </c>
      <c r="H33" s="83" t="s">
        <v>664</v>
      </c>
      <c r="I33" s="83" t="s">
        <v>698</v>
      </c>
      <c r="J33" s="83" t="s">
        <v>699</v>
      </c>
      <c r="K33" s="83" t="s">
        <v>700</v>
      </c>
      <c r="L33" s="83" t="s">
        <v>653</v>
      </c>
      <c r="M33" s="347" t="s">
        <v>701</v>
      </c>
      <c r="N33" s="83" t="s">
        <v>702</v>
      </c>
      <c r="O33" s="638" t="s">
        <v>717</v>
      </c>
      <c r="P33" s="348" t="s">
        <v>704</v>
      </c>
      <c r="Q33" s="83" t="s">
        <v>653</v>
      </c>
      <c r="R33" s="1218" t="s">
        <v>668</v>
      </c>
      <c r="S33" s="1219"/>
      <c r="T33" s="38"/>
      <c r="V33" s="732"/>
      <c r="W33" s="733"/>
      <c r="X33" s="733"/>
      <c r="Y33" s="733"/>
      <c r="Z33" s="733"/>
      <c r="AA33" s="733"/>
      <c r="AB33" s="733"/>
      <c r="AC33" s="733"/>
      <c r="AD33" s="733"/>
      <c r="AE33" s="733"/>
      <c r="AF33" s="733"/>
      <c r="AG33" s="733"/>
      <c r="AH33" s="733"/>
      <c r="AI33" s="734"/>
    </row>
    <row r="34" spans="2:35" ht="22.95" customHeight="1">
      <c r="B34" s="46"/>
      <c r="C34" s="115" t="s">
        <v>705</v>
      </c>
      <c r="D34" s="116" t="s">
        <v>705</v>
      </c>
      <c r="E34" s="115" t="s">
        <v>706</v>
      </c>
      <c r="F34" s="115" t="s">
        <v>707</v>
      </c>
      <c r="G34" s="115" t="s">
        <v>708</v>
      </c>
      <c r="H34" s="115" t="s">
        <v>670</v>
      </c>
      <c r="I34" s="639" t="s">
        <v>718</v>
      </c>
      <c r="J34" s="115" t="s">
        <v>710</v>
      </c>
      <c r="K34" s="115" t="s">
        <v>711</v>
      </c>
      <c r="L34" s="115">
        <f>ejercicio-1</f>
        <v>2024</v>
      </c>
      <c r="M34" s="115">
        <f>ejercicio</f>
        <v>2025</v>
      </c>
      <c r="N34" s="115">
        <f>ejercicio</f>
        <v>2025</v>
      </c>
      <c r="O34" s="115">
        <f>ejercicio</f>
        <v>2025</v>
      </c>
      <c r="P34" s="115">
        <f>ejercicio</f>
        <v>2025</v>
      </c>
      <c r="Q34" s="115">
        <f>ejercicio</f>
        <v>2025</v>
      </c>
      <c r="R34" s="349" t="s">
        <v>712</v>
      </c>
      <c r="S34" s="350" t="s">
        <v>713</v>
      </c>
      <c r="T34" s="38"/>
      <c r="V34" s="732"/>
      <c r="W34" s="733"/>
      <c r="X34" s="733"/>
      <c r="Y34" s="733"/>
      <c r="Z34" s="733"/>
      <c r="AA34" s="733"/>
      <c r="AB34" s="733"/>
      <c r="AC34" s="733"/>
      <c r="AD34" s="733"/>
      <c r="AE34" s="733"/>
      <c r="AF34" s="733"/>
      <c r="AG34" s="733"/>
      <c r="AH34" s="733"/>
      <c r="AI34" s="734"/>
    </row>
    <row r="35" spans="2:35" ht="22.95" customHeight="1">
      <c r="B35" s="46"/>
      <c r="C35" s="641">
        <v>1</v>
      </c>
      <c r="D35" s="337" t="s">
        <v>719</v>
      </c>
      <c r="E35" s="641">
        <v>2022</v>
      </c>
      <c r="F35" s="641"/>
      <c r="G35" s="640"/>
      <c r="H35" s="641">
        <v>180</v>
      </c>
      <c r="I35" s="641"/>
      <c r="J35" s="641" t="s">
        <v>720</v>
      </c>
      <c r="K35" s="357">
        <v>2820</v>
      </c>
      <c r="L35" s="357">
        <v>2820</v>
      </c>
      <c r="M35" s="642"/>
      <c r="N35" s="642"/>
      <c r="O35" s="642"/>
      <c r="P35" s="643"/>
      <c r="Q35" s="351">
        <f>L35+M35+N35+O35</f>
        <v>2820</v>
      </c>
      <c r="R35" s="644"/>
      <c r="S35" s="645">
        <v>2820</v>
      </c>
      <c r="T35" s="38"/>
      <c r="V35" s="732"/>
      <c r="W35" s="733"/>
      <c r="X35" s="733"/>
      <c r="Y35" s="733"/>
      <c r="Z35" s="733"/>
      <c r="AA35" s="733"/>
      <c r="AB35" s="733"/>
      <c r="AC35" s="733"/>
      <c r="AD35" s="733"/>
      <c r="AE35" s="733"/>
      <c r="AF35" s="733"/>
      <c r="AG35" s="733"/>
      <c r="AH35" s="733"/>
      <c r="AI35" s="734"/>
    </row>
    <row r="36" spans="2:35" ht="22.95" customHeight="1">
      <c r="B36" s="46"/>
      <c r="C36" s="641">
        <v>2</v>
      </c>
      <c r="D36" s="337" t="s">
        <v>721</v>
      </c>
      <c r="E36" s="641">
        <v>2023</v>
      </c>
      <c r="F36" s="641"/>
      <c r="G36" s="640"/>
      <c r="H36" s="641">
        <v>185</v>
      </c>
      <c r="I36" s="641"/>
      <c r="J36" s="641"/>
      <c r="K36" s="357">
        <v>725</v>
      </c>
      <c r="L36" s="357">
        <v>725</v>
      </c>
      <c r="M36" s="357"/>
      <c r="N36" s="357"/>
      <c r="O36" s="357"/>
      <c r="P36" s="643"/>
      <c r="Q36" s="351">
        <f t="shared" ref="Q36:Q49" si="2">L36+M36+N36+O36</f>
        <v>725</v>
      </c>
      <c r="R36" s="646"/>
      <c r="S36" s="647">
        <v>725</v>
      </c>
      <c r="T36" s="38"/>
      <c r="V36" s="732"/>
      <c r="W36" s="733"/>
      <c r="X36" s="733"/>
      <c r="Y36" s="733"/>
      <c r="Z36" s="733"/>
      <c r="AA36" s="733"/>
      <c r="AB36" s="733"/>
      <c r="AC36" s="733"/>
      <c r="AD36" s="733"/>
      <c r="AE36" s="733"/>
      <c r="AF36" s="733"/>
      <c r="AG36" s="733"/>
      <c r="AH36" s="733"/>
      <c r="AI36" s="734"/>
    </row>
    <row r="37" spans="2:35" ht="22.95" customHeight="1">
      <c r="B37" s="46"/>
      <c r="C37" s="641">
        <v>3</v>
      </c>
      <c r="D37" s="337" t="s">
        <v>722</v>
      </c>
      <c r="E37" s="641" t="s">
        <v>720</v>
      </c>
      <c r="F37" s="641"/>
      <c r="G37" s="640"/>
      <c r="H37" s="641">
        <v>5525</v>
      </c>
      <c r="I37" s="641"/>
      <c r="J37" s="641"/>
      <c r="K37" s="357"/>
      <c r="L37" s="357">
        <v>2320</v>
      </c>
      <c r="M37" s="357"/>
      <c r="N37" s="357"/>
      <c r="O37" s="357"/>
      <c r="P37" s="643"/>
      <c r="Q37" s="351">
        <f t="shared" si="2"/>
        <v>2320</v>
      </c>
      <c r="R37" s="646">
        <v>2320</v>
      </c>
      <c r="S37" s="647"/>
      <c r="T37" s="38"/>
      <c r="V37" s="732"/>
      <c r="W37" s="733"/>
      <c r="X37" s="733"/>
      <c r="Y37" s="733"/>
      <c r="Z37" s="733"/>
      <c r="AA37" s="733"/>
      <c r="AB37" s="733"/>
      <c r="AC37" s="733"/>
      <c r="AD37" s="733"/>
      <c r="AE37" s="733"/>
      <c r="AF37" s="733"/>
      <c r="AG37" s="733"/>
      <c r="AH37" s="733"/>
      <c r="AI37" s="734"/>
    </row>
    <row r="38" spans="2:35" ht="22.95" customHeight="1">
      <c r="B38" s="46"/>
      <c r="C38" s="641">
        <v>4</v>
      </c>
      <c r="D38" s="337"/>
      <c r="E38" s="641"/>
      <c r="F38" s="641"/>
      <c r="G38" s="640"/>
      <c r="H38" s="641"/>
      <c r="I38" s="641"/>
      <c r="J38" s="641"/>
      <c r="K38" s="357"/>
      <c r="L38" s="357"/>
      <c r="M38" s="357"/>
      <c r="N38" s="357"/>
      <c r="O38" s="357"/>
      <c r="P38" s="643"/>
      <c r="Q38" s="351">
        <f t="shared" si="2"/>
        <v>0</v>
      </c>
      <c r="R38" s="646"/>
      <c r="S38" s="647"/>
      <c r="T38" s="38"/>
      <c r="V38" s="732"/>
      <c r="W38" s="733"/>
      <c r="X38" s="733"/>
      <c r="Y38" s="733"/>
      <c r="Z38" s="733"/>
      <c r="AA38" s="733"/>
      <c r="AB38" s="733"/>
      <c r="AC38" s="733"/>
      <c r="AD38" s="733"/>
      <c r="AE38" s="733"/>
      <c r="AF38" s="733"/>
      <c r="AG38" s="733"/>
      <c r="AH38" s="733"/>
      <c r="AI38" s="734"/>
    </row>
    <row r="39" spans="2:35" ht="22.95" customHeight="1">
      <c r="B39" s="46"/>
      <c r="C39" s="641">
        <v>5</v>
      </c>
      <c r="D39" s="337"/>
      <c r="E39" s="641"/>
      <c r="F39" s="641"/>
      <c r="G39" s="640"/>
      <c r="H39" s="641"/>
      <c r="I39" s="641"/>
      <c r="J39" s="641"/>
      <c r="K39" s="357"/>
      <c r="L39" s="357"/>
      <c r="M39" s="357"/>
      <c r="N39" s="357"/>
      <c r="O39" s="357"/>
      <c r="P39" s="643"/>
      <c r="Q39" s="351">
        <f t="shared" si="2"/>
        <v>0</v>
      </c>
      <c r="R39" s="646"/>
      <c r="S39" s="647"/>
      <c r="T39" s="38"/>
      <c r="V39" s="732"/>
      <c r="W39" s="733"/>
      <c r="X39" s="733"/>
      <c r="Y39" s="733"/>
      <c r="Z39" s="733"/>
      <c r="AA39" s="733"/>
      <c r="AB39" s="733"/>
      <c r="AC39" s="733"/>
      <c r="AD39" s="733"/>
      <c r="AE39" s="733"/>
      <c r="AF39" s="733"/>
      <c r="AG39" s="733"/>
      <c r="AH39" s="733"/>
      <c r="AI39" s="734"/>
    </row>
    <row r="40" spans="2:35" ht="22.95" customHeight="1">
      <c r="B40" s="46"/>
      <c r="C40" s="641">
        <v>6</v>
      </c>
      <c r="D40" s="337"/>
      <c r="E40" s="641"/>
      <c r="F40" s="641"/>
      <c r="G40" s="640"/>
      <c r="H40" s="641"/>
      <c r="I40" s="641"/>
      <c r="J40" s="641"/>
      <c r="K40" s="357"/>
      <c r="L40" s="357"/>
      <c r="M40" s="357"/>
      <c r="N40" s="357"/>
      <c r="O40" s="357"/>
      <c r="P40" s="643"/>
      <c r="Q40" s="351">
        <f t="shared" si="2"/>
        <v>0</v>
      </c>
      <c r="R40" s="646"/>
      <c r="S40" s="647"/>
      <c r="T40" s="38"/>
      <c r="V40" s="732"/>
      <c r="W40" s="733"/>
      <c r="X40" s="733"/>
      <c r="Y40" s="733"/>
      <c r="Z40" s="733"/>
      <c r="AA40" s="733"/>
      <c r="AB40" s="733"/>
      <c r="AC40" s="733"/>
      <c r="AD40" s="733"/>
      <c r="AE40" s="733"/>
      <c r="AF40" s="733"/>
      <c r="AG40" s="733"/>
      <c r="AH40" s="733"/>
      <c r="AI40" s="734"/>
    </row>
    <row r="41" spans="2:35" ht="22.95" customHeight="1">
      <c r="B41" s="46"/>
      <c r="C41" s="641">
        <v>7</v>
      </c>
      <c r="D41" s="337"/>
      <c r="E41" s="641"/>
      <c r="F41" s="641"/>
      <c r="G41" s="640"/>
      <c r="H41" s="641"/>
      <c r="I41" s="641"/>
      <c r="J41" s="641"/>
      <c r="K41" s="357"/>
      <c r="L41" s="357"/>
      <c r="M41" s="357"/>
      <c r="N41" s="357"/>
      <c r="O41" s="357"/>
      <c r="P41" s="643"/>
      <c r="Q41" s="351">
        <f t="shared" si="2"/>
        <v>0</v>
      </c>
      <c r="R41" s="646"/>
      <c r="S41" s="647"/>
      <c r="T41" s="38"/>
      <c r="V41" s="732"/>
      <c r="W41" s="733"/>
      <c r="X41" s="733"/>
      <c r="Y41" s="733"/>
      <c r="Z41" s="733"/>
      <c r="AA41" s="733"/>
      <c r="AB41" s="733"/>
      <c r="AC41" s="733"/>
      <c r="AD41" s="733"/>
      <c r="AE41" s="733"/>
      <c r="AF41" s="733"/>
      <c r="AG41" s="733"/>
      <c r="AH41" s="733"/>
      <c r="AI41" s="734"/>
    </row>
    <row r="42" spans="2:35" ht="22.95" customHeight="1">
      <c r="B42" s="46"/>
      <c r="C42" s="641">
        <v>8</v>
      </c>
      <c r="D42" s="337"/>
      <c r="E42" s="641"/>
      <c r="F42" s="641"/>
      <c r="G42" s="640"/>
      <c r="H42" s="641"/>
      <c r="I42" s="641"/>
      <c r="J42" s="641"/>
      <c r="K42" s="357"/>
      <c r="L42" s="357"/>
      <c r="M42" s="357"/>
      <c r="N42" s="357"/>
      <c r="O42" s="357"/>
      <c r="P42" s="643"/>
      <c r="Q42" s="351">
        <f t="shared" si="2"/>
        <v>0</v>
      </c>
      <c r="R42" s="646"/>
      <c r="S42" s="647"/>
      <c r="T42" s="38"/>
      <c r="V42" s="732"/>
      <c r="W42" s="733"/>
      <c r="X42" s="733"/>
      <c r="Y42" s="733"/>
      <c r="Z42" s="733"/>
      <c r="AA42" s="733"/>
      <c r="AB42" s="733"/>
      <c r="AC42" s="733"/>
      <c r="AD42" s="733"/>
      <c r="AE42" s="733"/>
      <c r="AF42" s="733"/>
      <c r="AG42" s="733"/>
      <c r="AH42" s="733"/>
      <c r="AI42" s="734"/>
    </row>
    <row r="43" spans="2:35" ht="22.95" customHeight="1">
      <c r="B43" s="46"/>
      <c r="C43" s="641">
        <v>9</v>
      </c>
      <c r="D43" s="337"/>
      <c r="E43" s="641"/>
      <c r="F43" s="641"/>
      <c r="G43" s="640"/>
      <c r="H43" s="641"/>
      <c r="I43" s="641"/>
      <c r="J43" s="641"/>
      <c r="K43" s="357"/>
      <c r="L43" s="357"/>
      <c r="M43" s="357"/>
      <c r="N43" s="357"/>
      <c r="O43" s="357"/>
      <c r="P43" s="643"/>
      <c r="Q43" s="351">
        <f t="shared" si="2"/>
        <v>0</v>
      </c>
      <c r="R43" s="646"/>
      <c r="S43" s="647"/>
      <c r="T43" s="38"/>
      <c r="V43" s="732"/>
      <c r="W43" s="733"/>
      <c r="X43" s="733"/>
      <c r="Y43" s="733"/>
      <c r="Z43" s="733"/>
      <c r="AA43" s="733"/>
      <c r="AB43" s="733"/>
      <c r="AC43" s="733"/>
      <c r="AD43" s="733"/>
      <c r="AE43" s="733"/>
      <c r="AF43" s="733"/>
      <c r="AG43" s="733"/>
      <c r="AH43" s="733"/>
      <c r="AI43" s="734"/>
    </row>
    <row r="44" spans="2:35" ht="22.95" customHeight="1">
      <c r="B44" s="46"/>
      <c r="C44" s="641">
        <v>10</v>
      </c>
      <c r="D44" s="337"/>
      <c r="E44" s="641"/>
      <c r="F44" s="641"/>
      <c r="G44" s="640"/>
      <c r="H44" s="641"/>
      <c r="I44" s="641"/>
      <c r="J44" s="641"/>
      <c r="K44" s="357"/>
      <c r="L44" s="357"/>
      <c r="M44" s="357"/>
      <c r="N44" s="357"/>
      <c r="O44" s="357"/>
      <c r="P44" s="643"/>
      <c r="Q44" s="351">
        <f t="shared" si="2"/>
        <v>0</v>
      </c>
      <c r="R44" s="646"/>
      <c r="S44" s="647"/>
      <c r="T44" s="38"/>
      <c r="V44" s="732"/>
      <c r="W44" s="733"/>
      <c r="X44" s="733"/>
      <c r="Y44" s="733"/>
      <c r="Z44" s="733"/>
      <c r="AA44" s="733"/>
      <c r="AB44" s="733"/>
      <c r="AC44" s="733"/>
      <c r="AD44" s="733"/>
      <c r="AE44" s="733"/>
      <c r="AF44" s="733"/>
      <c r="AG44" s="733"/>
      <c r="AH44" s="733"/>
      <c r="AI44" s="734"/>
    </row>
    <row r="45" spans="2:35" ht="22.95" customHeight="1">
      <c r="B45" s="46"/>
      <c r="C45" s="641">
        <v>11</v>
      </c>
      <c r="D45" s="337"/>
      <c r="E45" s="641"/>
      <c r="F45" s="641"/>
      <c r="G45" s="640"/>
      <c r="H45" s="641"/>
      <c r="I45" s="641"/>
      <c r="J45" s="641"/>
      <c r="K45" s="357"/>
      <c r="L45" s="357"/>
      <c r="M45" s="357"/>
      <c r="N45" s="357"/>
      <c r="O45" s="357"/>
      <c r="P45" s="643"/>
      <c r="Q45" s="351">
        <f t="shared" si="2"/>
        <v>0</v>
      </c>
      <c r="R45" s="646"/>
      <c r="S45" s="647"/>
      <c r="T45" s="38"/>
      <c r="V45" s="732"/>
      <c r="W45" s="733"/>
      <c r="X45" s="733"/>
      <c r="Y45" s="733"/>
      <c r="Z45" s="733"/>
      <c r="AA45" s="733"/>
      <c r="AB45" s="733"/>
      <c r="AC45" s="733"/>
      <c r="AD45" s="733"/>
      <c r="AE45" s="733"/>
      <c r="AF45" s="733"/>
      <c r="AG45" s="733"/>
      <c r="AH45" s="733"/>
      <c r="AI45" s="734"/>
    </row>
    <row r="46" spans="2:35" ht="22.95" customHeight="1">
      <c r="B46" s="46"/>
      <c r="C46" s="641">
        <v>12</v>
      </c>
      <c r="D46" s="337"/>
      <c r="E46" s="641"/>
      <c r="F46" s="641"/>
      <c r="G46" s="640"/>
      <c r="H46" s="641"/>
      <c r="I46" s="641"/>
      <c r="J46" s="641"/>
      <c r="K46" s="357"/>
      <c r="L46" s="357"/>
      <c r="M46" s="357"/>
      <c r="N46" s="357"/>
      <c r="O46" s="357"/>
      <c r="P46" s="643"/>
      <c r="Q46" s="351">
        <f t="shared" si="2"/>
        <v>0</v>
      </c>
      <c r="R46" s="646"/>
      <c r="S46" s="647"/>
      <c r="T46" s="38"/>
      <c r="V46" s="732"/>
      <c r="W46" s="733"/>
      <c r="X46" s="733"/>
      <c r="Y46" s="733"/>
      <c r="Z46" s="733"/>
      <c r="AA46" s="733"/>
      <c r="AB46" s="733"/>
      <c r="AC46" s="733"/>
      <c r="AD46" s="733"/>
      <c r="AE46" s="733"/>
      <c r="AF46" s="733"/>
      <c r="AG46" s="733"/>
      <c r="AH46" s="733"/>
      <c r="AI46" s="734"/>
    </row>
    <row r="47" spans="2:35" ht="22.95" customHeight="1">
      <c r="B47" s="46"/>
      <c r="C47" s="641">
        <v>13</v>
      </c>
      <c r="D47" s="337"/>
      <c r="E47" s="641"/>
      <c r="F47" s="641"/>
      <c r="G47" s="640"/>
      <c r="H47" s="641"/>
      <c r="I47" s="641"/>
      <c r="J47" s="641"/>
      <c r="K47" s="357"/>
      <c r="L47" s="357"/>
      <c r="M47" s="357"/>
      <c r="N47" s="357"/>
      <c r="O47" s="357"/>
      <c r="P47" s="643"/>
      <c r="Q47" s="351">
        <f t="shared" si="2"/>
        <v>0</v>
      </c>
      <c r="R47" s="646"/>
      <c r="S47" s="647"/>
      <c r="T47" s="38"/>
      <c r="V47" s="732"/>
      <c r="W47" s="733"/>
      <c r="X47" s="733"/>
      <c r="Y47" s="733"/>
      <c r="Z47" s="733"/>
      <c r="AA47" s="733"/>
      <c r="AB47" s="733"/>
      <c r="AC47" s="733"/>
      <c r="AD47" s="733"/>
      <c r="AE47" s="733"/>
      <c r="AF47" s="733"/>
      <c r="AG47" s="733"/>
      <c r="AH47" s="733"/>
      <c r="AI47" s="734"/>
    </row>
    <row r="48" spans="2:35" ht="22.95" customHeight="1">
      <c r="B48" s="46"/>
      <c r="C48" s="641">
        <v>14</v>
      </c>
      <c r="D48" s="337"/>
      <c r="E48" s="641"/>
      <c r="F48" s="641"/>
      <c r="G48" s="640"/>
      <c r="H48" s="641"/>
      <c r="I48" s="641"/>
      <c r="J48" s="641"/>
      <c r="K48" s="357"/>
      <c r="L48" s="357"/>
      <c r="M48" s="357"/>
      <c r="N48" s="357"/>
      <c r="O48" s="357"/>
      <c r="P48" s="643"/>
      <c r="Q48" s="351">
        <f t="shared" si="2"/>
        <v>0</v>
      </c>
      <c r="R48" s="646"/>
      <c r="S48" s="647"/>
      <c r="T48" s="38"/>
      <c r="V48" s="732"/>
      <c r="W48" s="733"/>
      <c r="X48" s="733"/>
      <c r="Y48" s="733"/>
      <c r="Z48" s="733"/>
      <c r="AA48" s="733"/>
      <c r="AB48" s="733"/>
      <c r="AC48" s="733"/>
      <c r="AD48" s="733"/>
      <c r="AE48" s="733"/>
      <c r="AF48" s="733"/>
      <c r="AG48" s="733"/>
      <c r="AH48" s="733"/>
      <c r="AI48" s="734"/>
    </row>
    <row r="49" spans="2:35" ht="22.95" customHeight="1">
      <c r="B49" s="46"/>
      <c r="C49" s="641">
        <v>15</v>
      </c>
      <c r="D49" s="337"/>
      <c r="E49" s="641"/>
      <c r="F49" s="641"/>
      <c r="G49" s="640"/>
      <c r="H49" s="641"/>
      <c r="I49" s="641"/>
      <c r="J49" s="641"/>
      <c r="K49" s="357"/>
      <c r="L49" s="357"/>
      <c r="M49" s="357"/>
      <c r="N49" s="357"/>
      <c r="O49" s="357"/>
      <c r="P49" s="643"/>
      <c r="Q49" s="351">
        <f t="shared" si="2"/>
        <v>0</v>
      </c>
      <c r="R49" s="646"/>
      <c r="S49" s="647"/>
      <c r="T49" s="38"/>
      <c r="V49" s="732"/>
      <c r="W49" s="733"/>
      <c r="X49" s="733"/>
      <c r="Y49" s="733"/>
      <c r="Z49" s="733"/>
      <c r="AA49" s="733"/>
      <c r="AB49" s="733"/>
      <c r="AC49" s="733"/>
      <c r="AD49" s="733"/>
      <c r="AE49" s="733"/>
      <c r="AF49" s="733"/>
      <c r="AG49" s="733"/>
      <c r="AH49" s="733"/>
      <c r="AI49" s="734"/>
    </row>
    <row r="50" spans="2:35" ht="22.95" customHeight="1" thickBot="1">
      <c r="B50" s="46"/>
      <c r="C50" s="599"/>
      <c r="D50" s="599"/>
      <c r="E50" s="96"/>
      <c r="F50" s="96"/>
      <c r="G50" s="96"/>
      <c r="H50" s="1264" t="s">
        <v>723</v>
      </c>
      <c r="I50" s="1265"/>
      <c r="J50" s="1266"/>
      <c r="K50" s="105">
        <f t="shared" ref="K50:S50" si="3">SUM(K35:K49)</f>
        <v>3545</v>
      </c>
      <c r="L50" s="105">
        <f t="shared" si="3"/>
        <v>5865</v>
      </c>
      <c r="M50" s="105">
        <f t="shared" si="3"/>
        <v>0</v>
      </c>
      <c r="N50" s="105">
        <f t="shared" si="3"/>
        <v>0</v>
      </c>
      <c r="O50" s="105">
        <f t="shared" si="3"/>
        <v>0</v>
      </c>
      <c r="P50" s="105">
        <f t="shared" si="3"/>
        <v>0</v>
      </c>
      <c r="Q50" s="352">
        <f t="shared" si="3"/>
        <v>5865</v>
      </c>
      <c r="R50" s="105">
        <f t="shared" si="3"/>
        <v>2320</v>
      </c>
      <c r="S50" s="105">
        <f t="shared" si="3"/>
        <v>3545</v>
      </c>
      <c r="T50" s="38"/>
      <c r="V50" s="732"/>
      <c r="W50" s="733"/>
      <c r="X50" s="733"/>
      <c r="Y50" s="733"/>
      <c r="Z50" s="733"/>
      <c r="AA50" s="733"/>
      <c r="AB50" s="733"/>
      <c r="AC50" s="733"/>
      <c r="AD50" s="733"/>
      <c r="AE50" s="733"/>
      <c r="AF50" s="733"/>
      <c r="AG50" s="733"/>
      <c r="AH50" s="733"/>
      <c r="AI50" s="734"/>
    </row>
    <row r="51" spans="2:35" ht="22.95" customHeight="1" thickBot="1">
      <c r="B51" s="46"/>
      <c r="C51" s="599"/>
      <c r="D51" s="599"/>
      <c r="E51" s="96"/>
      <c r="F51" s="96"/>
      <c r="G51" s="96"/>
      <c r="H51" s="1264" t="s">
        <v>714</v>
      </c>
      <c r="I51" s="1265"/>
      <c r="J51" s="1266"/>
      <c r="K51" s="105">
        <f>K50+'FC-9_1_SUBV_REINT'!I59</f>
        <v>540679.32999999996</v>
      </c>
      <c r="L51" s="105">
        <f>L50+'FC-9_1_SUBV_REINT'!J59</f>
        <v>343399.32999999996</v>
      </c>
      <c r="M51" s="105">
        <f>M50+'FC-9_1_SUBV_REINT'!K59</f>
        <v>184600</v>
      </c>
      <c r="N51" s="105">
        <f>N50+'FC-9_1_SUBV_REINT'!L59</f>
        <v>0</v>
      </c>
      <c r="O51" s="105">
        <f>O50+'FC-9_1_SUBV_REINT'!M59</f>
        <v>-361534.32999999996</v>
      </c>
      <c r="P51" s="105"/>
      <c r="Q51" s="352">
        <f>Q50+'FC-9_1_SUBV_REINT'!N59</f>
        <v>166465</v>
      </c>
      <c r="R51" s="104">
        <f>R50+'FC-9_1_SUBV_REINT'!O59</f>
        <v>162920</v>
      </c>
      <c r="S51" s="104">
        <f>S50+'FC-9_1_SUBV_REINT'!P59</f>
        <v>3545</v>
      </c>
      <c r="T51" s="38"/>
      <c r="V51" s="732"/>
      <c r="W51" s="733"/>
      <c r="X51" s="733"/>
      <c r="Y51" s="733"/>
      <c r="Z51" s="733"/>
      <c r="AA51" s="733"/>
      <c r="AB51" s="733"/>
      <c r="AC51" s="733"/>
      <c r="AD51" s="733"/>
      <c r="AE51" s="733"/>
      <c r="AF51" s="733"/>
      <c r="AG51" s="733"/>
      <c r="AH51" s="733"/>
      <c r="AI51" s="734"/>
    </row>
    <row r="52" spans="2:35" ht="22.95" customHeight="1">
      <c r="B52" s="46"/>
      <c r="C52" s="599"/>
      <c r="D52" s="599"/>
      <c r="E52" s="96"/>
      <c r="F52" s="96"/>
      <c r="G52" s="96"/>
      <c r="H52" s="271"/>
      <c r="I52" s="271"/>
      <c r="J52" s="271"/>
      <c r="K52" s="96"/>
      <c r="L52" s="96"/>
      <c r="M52" s="96"/>
      <c r="N52" s="96"/>
      <c r="O52" s="96"/>
      <c r="P52" s="96"/>
      <c r="Q52" s="96"/>
      <c r="R52" s="96"/>
      <c r="S52" s="96"/>
      <c r="T52" s="38"/>
      <c r="V52" s="732"/>
      <c r="W52" s="733"/>
      <c r="X52" s="733"/>
      <c r="Y52" s="733"/>
      <c r="Z52" s="733"/>
      <c r="AA52" s="733"/>
      <c r="AB52" s="733"/>
      <c r="AC52" s="733"/>
      <c r="AD52" s="733"/>
      <c r="AE52" s="733"/>
      <c r="AF52" s="733"/>
      <c r="AG52" s="733"/>
      <c r="AH52" s="733"/>
      <c r="AI52" s="734"/>
    </row>
    <row r="53" spans="2:35" ht="22.95" customHeight="1">
      <c r="B53" s="46"/>
      <c r="C53" s="27" t="s">
        <v>724</v>
      </c>
      <c r="D53" s="571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8"/>
      <c r="V53" s="732"/>
      <c r="W53" s="733"/>
      <c r="X53" s="733"/>
      <c r="Y53" s="733"/>
      <c r="Z53" s="733"/>
      <c r="AA53" s="733"/>
      <c r="AB53" s="733"/>
      <c r="AC53" s="733"/>
      <c r="AD53" s="733"/>
      <c r="AE53" s="733"/>
      <c r="AF53" s="733"/>
      <c r="AG53" s="733"/>
      <c r="AH53" s="733"/>
      <c r="AI53" s="734"/>
    </row>
    <row r="54" spans="2:35" ht="22.95" customHeight="1">
      <c r="B54" s="46"/>
      <c r="C54" s="571"/>
      <c r="D54" s="571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8"/>
      <c r="V54" s="732"/>
      <c r="W54" s="733"/>
      <c r="X54" s="733"/>
      <c r="Y54" s="733"/>
      <c r="Z54" s="733"/>
      <c r="AA54" s="733"/>
      <c r="AB54" s="733"/>
      <c r="AC54" s="733"/>
      <c r="AD54" s="733"/>
      <c r="AE54" s="733"/>
      <c r="AF54" s="733"/>
      <c r="AG54" s="733"/>
      <c r="AH54" s="733"/>
      <c r="AI54" s="734"/>
    </row>
    <row r="55" spans="2:35" ht="22.95" customHeight="1">
      <c r="B55" s="46"/>
      <c r="C55" s="571"/>
      <c r="D55" s="571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8"/>
      <c r="V55" s="732"/>
      <c r="W55" s="733"/>
      <c r="X55" s="733"/>
      <c r="Y55" s="733"/>
      <c r="Z55" s="733"/>
      <c r="AA55" s="733"/>
      <c r="AB55" s="733"/>
      <c r="AC55" s="733"/>
      <c r="AD55" s="733"/>
      <c r="AE55" s="733"/>
      <c r="AF55" s="733"/>
      <c r="AG55" s="733"/>
      <c r="AH55" s="733"/>
      <c r="AI55" s="734"/>
    </row>
    <row r="56" spans="2:35" ht="37.950000000000003" customHeight="1">
      <c r="B56" s="46"/>
      <c r="C56" s="83" t="s">
        <v>695</v>
      </c>
      <c r="D56" s="111" t="s">
        <v>696</v>
      </c>
      <c r="E56" s="83" t="s">
        <v>697</v>
      </c>
      <c r="F56" s="83" t="s">
        <v>697</v>
      </c>
      <c r="G56" s="83" t="s">
        <v>648</v>
      </c>
      <c r="H56" s="83" t="s">
        <v>664</v>
      </c>
      <c r="I56" s="83" t="s">
        <v>698</v>
      </c>
      <c r="J56" s="83" t="s">
        <v>699</v>
      </c>
      <c r="K56" s="83" t="s">
        <v>700</v>
      </c>
      <c r="L56" s="83" t="s">
        <v>653</v>
      </c>
      <c r="M56" s="347" t="s">
        <v>701</v>
      </c>
      <c r="N56" s="83" t="s">
        <v>702</v>
      </c>
      <c r="O56" s="83" t="s">
        <v>703</v>
      </c>
      <c r="P56" s="348" t="s">
        <v>704</v>
      </c>
      <c r="Q56" s="83" t="s">
        <v>653</v>
      </c>
      <c r="R56" s="1218" t="s">
        <v>668</v>
      </c>
      <c r="S56" s="1219"/>
      <c r="T56" s="38"/>
      <c r="V56" s="732"/>
      <c r="W56" s="733"/>
      <c r="X56" s="733"/>
      <c r="Y56" s="733"/>
      <c r="Z56" s="733"/>
      <c r="AA56" s="733"/>
      <c r="AB56" s="733"/>
      <c r="AC56" s="733"/>
      <c r="AD56" s="733"/>
      <c r="AE56" s="733"/>
      <c r="AF56" s="733"/>
      <c r="AG56" s="733"/>
      <c r="AH56" s="733"/>
      <c r="AI56" s="734"/>
    </row>
    <row r="57" spans="2:35" ht="22.95" customHeight="1">
      <c r="B57" s="46"/>
      <c r="C57" s="115" t="s">
        <v>705</v>
      </c>
      <c r="D57" s="116" t="s">
        <v>705</v>
      </c>
      <c r="E57" s="115" t="s">
        <v>706</v>
      </c>
      <c r="F57" s="115" t="s">
        <v>707</v>
      </c>
      <c r="G57" s="115" t="s">
        <v>708</v>
      </c>
      <c r="H57" s="115" t="s">
        <v>670</v>
      </c>
      <c r="I57" s="115" t="s">
        <v>709</v>
      </c>
      <c r="J57" s="115" t="s">
        <v>710</v>
      </c>
      <c r="K57" s="115" t="s">
        <v>711</v>
      </c>
      <c r="L57" s="115">
        <f>ejercicio-1</f>
        <v>2024</v>
      </c>
      <c r="M57" s="115">
        <f>ejercicio</f>
        <v>2025</v>
      </c>
      <c r="N57" s="115">
        <f>ejercicio</f>
        <v>2025</v>
      </c>
      <c r="O57" s="115">
        <f>ejercicio</f>
        <v>2025</v>
      </c>
      <c r="P57" s="115">
        <f>ejercicio</f>
        <v>2025</v>
      </c>
      <c r="Q57" s="115">
        <f>ejercicio</f>
        <v>2025</v>
      </c>
      <c r="R57" s="349" t="s">
        <v>712</v>
      </c>
      <c r="S57" s="350" t="s">
        <v>713</v>
      </c>
      <c r="T57" s="38"/>
      <c r="V57" s="732"/>
      <c r="W57" s="733"/>
      <c r="X57" s="733"/>
      <c r="Y57" s="733"/>
      <c r="Z57" s="733"/>
      <c r="AA57" s="733"/>
      <c r="AB57" s="733"/>
      <c r="AC57" s="733"/>
      <c r="AD57" s="733"/>
      <c r="AE57" s="733"/>
      <c r="AF57" s="733"/>
      <c r="AG57" s="733"/>
      <c r="AH57" s="733"/>
      <c r="AI57" s="734"/>
    </row>
    <row r="58" spans="2:35" ht="22.95" customHeight="1">
      <c r="B58" s="46"/>
      <c r="C58" s="641">
        <v>1</v>
      </c>
      <c r="D58" s="337"/>
      <c r="E58" s="641"/>
      <c r="F58" s="641"/>
      <c r="G58" s="640"/>
      <c r="H58" s="641"/>
      <c r="I58" s="641"/>
      <c r="J58" s="274"/>
      <c r="K58" s="357"/>
      <c r="L58" s="357"/>
      <c r="M58" s="642"/>
      <c r="N58" s="642"/>
      <c r="O58" s="642"/>
      <c r="P58" s="643"/>
      <c r="Q58" s="351">
        <f>L58+M58+N58</f>
        <v>0</v>
      </c>
      <c r="R58" s="644"/>
      <c r="S58" s="645"/>
      <c r="T58" s="38"/>
      <c r="V58" s="732"/>
      <c r="W58" s="733"/>
      <c r="X58" s="733"/>
      <c r="Y58" s="733"/>
      <c r="Z58" s="733"/>
      <c r="AA58" s="733"/>
      <c r="AB58" s="733"/>
      <c r="AC58" s="733"/>
      <c r="AD58" s="733"/>
      <c r="AE58" s="733"/>
      <c r="AF58" s="733"/>
      <c r="AG58" s="733"/>
      <c r="AH58" s="733"/>
      <c r="AI58" s="734"/>
    </row>
    <row r="59" spans="2:35" ht="22.95" customHeight="1">
      <c r="B59" s="46"/>
      <c r="C59" s="641">
        <v>2</v>
      </c>
      <c r="D59" s="337"/>
      <c r="E59" s="641"/>
      <c r="F59" s="641"/>
      <c r="G59" s="640"/>
      <c r="H59" s="641"/>
      <c r="I59" s="641"/>
      <c r="J59" s="641"/>
      <c r="K59" s="357"/>
      <c r="L59" s="357"/>
      <c r="M59" s="357"/>
      <c r="N59" s="357"/>
      <c r="O59" s="357"/>
      <c r="P59" s="643"/>
      <c r="Q59" s="351">
        <f t="shared" ref="Q59:Q72" si="4">L59+M59+N59</f>
        <v>0</v>
      </c>
      <c r="R59" s="646"/>
      <c r="S59" s="647"/>
      <c r="T59" s="38"/>
      <c r="V59" s="732"/>
      <c r="W59" s="733"/>
      <c r="X59" s="733"/>
      <c r="Y59" s="733"/>
      <c r="Z59" s="733"/>
      <c r="AA59" s="733"/>
      <c r="AB59" s="733"/>
      <c r="AC59" s="733"/>
      <c r="AD59" s="733"/>
      <c r="AE59" s="733"/>
      <c r="AF59" s="733"/>
      <c r="AG59" s="733"/>
      <c r="AH59" s="733"/>
      <c r="AI59" s="734"/>
    </row>
    <row r="60" spans="2:35" ht="22.95" customHeight="1">
      <c r="B60" s="46"/>
      <c r="C60" s="641">
        <v>3</v>
      </c>
      <c r="D60" s="337"/>
      <c r="E60" s="641" t="s">
        <v>720</v>
      </c>
      <c r="F60" s="641"/>
      <c r="G60" s="640"/>
      <c r="H60" s="641"/>
      <c r="I60" s="641"/>
      <c r="J60" s="641"/>
      <c r="K60" s="357"/>
      <c r="L60" s="357"/>
      <c r="M60" s="357"/>
      <c r="N60" s="357"/>
      <c r="O60" s="357"/>
      <c r="P60" s="643"/>
      <c r="Q60" s="351">
        <f t="shared" si="4"/>
        <v>0</v>
      </c>
      <c r="R60" s="646"/>
      <c r="S60" s="647"/>
      <c r="T60" s="38"/>
      <c r="V60" s="732"/>
      <c r="W60" s="733"/>
      <c r="X60" s="733"/>
      <c r="Y60" s="733"/>
      <c r="Z60" s="733"/>
      <c r="AA60" s="733"/>
      <c r="AB60" s="733"/>
      <c r="AC60" s="733"/>
      <c r="AD60" s="733"/>
      <c r="AE60" s="733"/>
      <c r="AF60" s="733"/>
      <c r="AG60" s="733"/>
      <c r="AH60" s="733"/>
      <c r="AI60" s="734"/>
    </row>
    <row r="61" spans="2:35" ht="22.95" customHeight="1">
      <c r="B61" s="46"/>
      <c r="C61" s="641">
        <v>4</v>
      </c>
      <c r="D61" s="337"/>
      <c r="E61" s="641"/>
      <c r="F61" s="641"/>
      <c r="G61" s="640"/>
      <c r="H61" s="641"/>
      <c r="I61" s="641"/>
      <c r="J61" s="641"/>
      <c r="K61" s="357"/>
      <c r="L61" s="357"/>
      <c r="M61" s="357"/>
      <c r="N61" s="357"/>
      <c r="O61" s="357"/>
      <c r="P61" s="643"/>
      <c r="Q61" s="351">
        <f t="shared" si="4"/>
        <v>0</v>
      </c>
      <c r="R61" s="646"/>
      <c r="S61" s="647"/>
      <c r="T61" s="38"/>
      <c r="V61" s="732"/>
      <c r="W61" s="733"/>
      <c r="X61" s="733"/>
      <c r="Y61" s="733"/>
      <c r="Z61" s="733"/>
      <c r="AA61" s="733"/>
      <c r="AB61" s="733"/>
      <c r="AC61" s="733"/>
      <c r="AD61" s="733"/>
      <c r="AE61" s="733"/>
      <c r="AF61" s="733"/>
      <c r="AG61" s="733"/>
      <c r="AH61" s="733"/>
      <c r="AI61" s="734"/>
    </row>
    <row r="62" spans="2:35" ht="22.95" customHeight="1">
      <c r="B62" s="46"/>
      <c r="C62" s="641">
        <v>5</v>
      </c>
      <c r="D62" s="337"/>
      <c r="E62" s="641"/>
      <c r="F62" s="641"/>
      <c r="G62" s="640"/>
      <c r="H62" s="641"/>
      <c r="I62" s="641"/>
      <c r="J62" s="641"/>
      <c r="K62" s="357"/>
      <c r="L62" s="357"/>
      <c r="M62" s="357"/>
      <c r="N62" s="357"/>
      <c r="O62" s="357"/>
      <c r="P62" s="643"/>
      <c r="Q62" s="351">
        <f t="shared" si="4"/>
        <v>0</v>
      </c>
      <c r="R62" s="646"/>
      <c r="S62" s="647"/>
      <c r="T62" s="38"/>
      <c r="V62" s="732"/>
      <c r="W62" s="733"/>
      <c r="X62" s="733"/>
      <c r="Y62" s="733"/>
      <c r="Z62" s="733"/>
      <c r="AA62" s="733"/>
      <c r="AB62" s="733"/>
      <c r="AC62" s="733"/>
      <c r="AD62" s="733"/>
      <c r="AE62" s="733"/>
      <c r="AF62" s="733"/>
      <c r="AG62" s="733"/>
      <c r="AH62" s="733"/>
      <c r="AI62" s="734"/>
    </row>
    <row r="63" spans="2:35" ht="22.95" customHeight="1">
      <c r="B63" s="46"/>
      <c r="C63" s="641">
        <v>6</v>
      </c>
      <c r="D63" s="337"/>
      <c r="E63" s="641"/>
      <c r="F63" s="641"/>
      <c r="G63" s="640"/>
      <c r="H63" s="641"/>
      <c r="I63" s="641"/>
      <c r="J63" s="641"/>
      <c r="K63" s="357"/>
      <c r="L63" s="357"/>
      <c r="M63" s="357"/>
      <c r="N63" s="357"/>
      <c r="O63" s="357"/>
      <c r="P63" s="643"/>
      <c r="Q63" s="351">
        <f t="shared" si="4"/>
        <v>0</v>
      </c>
      <c r="R63" s="646"/>
      <c r="S63" s="647"/>
      <c r="T63" s="38"/>
      <c r="V63" s="732"/>
      <c r="W63" s="733"/>
      <c r="X63" s="733"/>
      <c r="Y63" s="733"/>
      <c r="Z63" s="733"/>
      <c r="AA63" s="733"/>
      <c r="AB63" s="733"/>
      <c r="AC63" s="733"/>
      <c r="AD63" s="733"/>
      <c r="AE63" s="733"/>
      <c r="AF63" s="733"/>
      <c r="AG63" s="733"/>
      <c r="AH63" s="733"/>
      <c r="AI63" s="734"/>
    </row>
    <row r="64" spans="2:35" ht="22.95" customHeight="1">
      <c r="B64" s="46"/>
      <c r="C64" s="641">
        <v>7</v>
      </c>
      <c r="D64" s="337"/>
      <c r="E64" s="641"/>
      <c r="F64" s="641"/>
      <c r="G64" s="640"/>
      <c r="H64" s="641"/>
      <c r="I64" s="641"/>
      <c r="J64" s="641"/>
      <c r="K64" s="357"/>
      <c r="L64" s="357"/>
      <c r="M64" s="357"/>
      <c r="N64" s="357"/>
      <c r="O64" s="357"/>
      <c r="P64" s="643"/>
      <c r="Q64" s="351">
        <f t="shared" si="4"/>
        <v>0</v>
      </c>
      <c r="R64" s="646"/>
      <c r="S64" s="647"/>
      <c r="T64" s="38"/>
      <c r="V64" s="732"/>
      <c r="W64" s="733"/>
      <c r="X64" s="733"/>
      <c r="Y64" s="733"/>
      <c r="Z64" s="733"/>
      <c r="AA64" s="733"/>
      <c r="AB64" s="733"/>
      <c r="AC64" s="733"/>
      <c r="AD64" s="733"/>
      <c r="AE64" s="733"/>
      <c r="AF64" s="733"/>
      <c r="AG64" s="733"/>
      <c r="AH64" s="733"/>
      <c r="AI64" s="734"/>
    </row>
    <row r="65" spans="2:35" ht="22.95" customHeight="1">
      <c r="B65" s="46"/>
      <c r="C65" s="641">
        <v>8</v>
      </c>
      <c r="D65" s="337"/>
      <c r="E65" s="641"/>
      <c r="F65" s="641"/>
      <c r="G65" s="640"/>
      <c r="H65" s="641"/>
      <c r="I65" s="641"/>
      <c r="J65" s="641"/>
      <c r="K65" s="357"/>
      <c r="L65" s="357"/>
      <c r="M65" s="357"/>
      <c r="N65" s="357"/>
      <c r="O65" s="357"/>
      <c r="P65" s="643"/>
      <c r="Q65" s="351">
        <f t="shared" si="4"/>
        <v>0</v>
      </c>
      <c r="R65" s="646"/>
      <c r="S65" s="647"/>
      <c r="T65" s="38"/>
      <c r="V65" s="732"/>
      <c r="W65" s="733"/>
      <c r="X65" s="733"/>
      <c r="Y65" s="733"/>
      <c r="Z65" s="733"/>
      <c r="AA65" s="733"/>
      <c r="AB65" s="733"/>
      <c r="AC65" s="733"/>
      <c r="AD65" s="733"/>
      <c r="AE65" s="733"/>
      <c r="AF65" s="733"/>
      <c r="AG65" s="733"/>
      <c r="AH65" s="733"/>
      <c r="AI65" s="734"/>
    </row>
    <row r="66" spans="2:35" ht="22.95" customHeight="1">
      <c r="B66" s="46"/>
      <c r="C66" s="641">
        <v>9</v>
      </c>
      <c r="D66" s="337"/>
      <c r="E66" s="641"/>
      <c r="F66" s="641"/>
      <c r="G66" s="640"/>
      <c r="H66" s="641"/>
      <c r="I66" s="641"/>
      <c r="J66" s="641"/>
      <c r="K66" s="357"/>
      <c r="L66" s="357"/>
      <c r="M66" s="357"/>
      <c r="N66" s="357"/>
      <c r="O66" s="357"/>
      <c r="P66" s="643"/>
      <c r="Q66" s="351">
        <f t="shared" si="4"/>
        <v>0</v>
      </c>
      <c r="R66" s="646"/>
      <c r="S66" s="647"/>
      <c r="T66" s="38"/>
      <c r="V66" s="732"/>
      <c r="W66" s="733"/>
      <c r="X66" s="733"/>
      <c r="Y66" s="733"/>
      <c r="Z66" s="733"/>
      <c r="AA66" s="733"/>
      <c r="AB66" s="733"/>
      <c r="AC66" s="733"/>
      <c r="AD66" s="733"/>
      <c r="AE66" s="733"/>
      <c r="AF66" s="733"/>
      <c r="AG66" s="733"/>
      <c r="AH66" s="733"/>
      <c r="AI66" s="734"/>
    </row>
    <row r="67" spans="2:35" ht="22.95" customHeight="1">
      <c r="B67" s="46"/>
      <c r="C67" s="641">
        <v>10</v>
      </c>
      <c r="D67" s="337"/>
      <c r="E67" s="641"/>
      <c r="F67" s="641"/>
      <c r="G67" s="640"/>
      <c r="H67" s="641"/>
      <c r="I67" s="641"/>
      <c r="J67" s="641"/>
      <c r="K67" s="357"/>
      <c r="L67" s="357"/>
      <c r="M67" s="357"/>
      <c r="N67" s="357"/>
      <c r="O67" s="357"/>
      <c r="P67" s="643"/>
      <c r="Q67" s="351">
        <f t="shared" si="4"/>
        <v>0</v>
      </c>
      <c r="R67" s="646"/>
      <c r="S67" s="647"/>
      <c r="T67" s="38"/>
      <c r="V67" s="732"/>
      <c r="W67" s="733"/>
      <c r="X67" s="733"/>
      <c r="Y67" s="733"/>
      <c r="Z67" s="733"/>
      <c r="AA67" s="733"/>
      <c r="AB67" s="733"/>
      <c r="AC67" s="733"/>
      <c r="AD67" s="733"/>
      <c r="AE67" s="733"/>
      <c r="AF67" s="733"/>
      <c r="AG67" s="733"/>
      <c r="AH67" s="733"/>
      <c r="AI67" s="734"/>
    </row>
    <row r="68" spans="2:35" ht="22.95" customHeight="1">
      <c r="B68" s="46"/>
      <c r="C68" s="641">
        <v>11</v>
      </c>
      <c r="D68" s="337"/>
      <c r="E68" s="641"/>
      <c r="F68" s="641"/>
      <c r="G68" s="640"/>
      <c r="H68" s="641"/>
      <c r="I68" s="641"/>
      <c r="J68" s="641"/>
      <c r="K68" s="357"/>
      <c r="L68" s="357"/>
      <c r="M68" s="357"/>
      <c r="N68" s="357"/>
      <c r="O68" s="357"/>
      <c r="P68" s="643"/>
      <c r="Q68" s="351">
        <f t="shared" si="4"/>
        <v>0</v>
      </c>
      <c r="R68" s="646"/>
      <c r="S68" s="647"/>
      <c r="T68" s="38"/>
      <c r="V68" s="732"/>
      <c r="W68" s="733"/>
      <c r="X68" s="733"/>
      <c r="Y68" s="733"/>
      <c r="Z68" s="733"/>
      <c r="AA68" s="733"/>
      <c r="AB68" s="733"/>
      <c r="AC68" s="733"/>
      <c r="AD68" s="733"/>
      <c r="AE68" s="733"/>
      <c r="AF68" s="733"/>
      <c r="AG68" s="733"/>
      <c r="AH68" s="733"/>
      <c r="AI68" s="734"/>
    </row>
    <row r="69" spans="2:35" ht="22.95" customHeight="1">
      <c r="B69" s="46"/>
      <c r="C69" s="641">
        <v>12</v>
      </c>
      <c r="D69" s="337"/>
      <c r="E69" s="641"/>
      <c r="F69" s="641"/>
      <c r="G69" s="640"/>
      <c r="H69" s="641"/>
      <c r="I69" s="641"/>
      <c r="J69" s="641"/>
      <c r="K69" s="357"/>
      <c r="L69" s="357"/>
      <c r="M69" s="357"/>
      <c r="N69" s="357"/>
      <c r="O69" s="357"/>
      <c r="P69" s="643"/>
      <c r="Q69" s="351">
        <f t="shared" si="4"/>
        <v>0</v>
      </c>
      <c r="R69" s="646"/>
      <c r="S69" s="647"/>
      <c r="T69" s="38"/>
      <c r="V69" s="732"/>
      <c r="W69" s="733"/>
      <c r="X69" s="733"/>
      <c r="Y69" s="733"/>
      <c r="Z69" s="733"/>
      <c r="AA69" s="733"/>
      <c r="AB69" s="733"/>
      <c r="AC69" s="733"/>
      <c r="AD69" s="733"/>
      <c r="AE69" s="733"/>
      <c r="AF69" s="733"/>
      <c r="AG69" s="733"/>
      <c r="AH69" s="733"/>
      <c r="AI69" s="734"/>
    </row>
    <row r="70" spans="2:35" ht="22.95" customHeight="1">
      <c r="B70" s="46"/>
      <c r="C70" s="641">
        <v>13</v>
      </c>
      <c r="D70" s="337"/>
      <c r="E70" s="641"/>
      <c r="F70" s="641"/>
      <c r="G70" s="640"/>
      <c r="H70" s="641"/>
      <c r="I70" s="641"/>
      <c r="J70" s="641"/>
      <c r="K70" s="357"/>
      <c r="L70" s="357"/>
      <c r="M70" s="357"/>
      <c r="N70" s="357"/>
      <c r="O70" s="357"/>
      <c r="P70" s="643"/>
      <c r="Q70" s="351">
        <f t="shared" si="4"/>
        <v>0</v>
      </c>
      <c r="R70" s="646"/>
      <c r="S70" s="647"/>
      <c r="T70" s="38"/>
      <c r="V70" s="732"/>
      <c r="W70" s="733"/>
      <c r="X70" s="733"/>
      <c r="Y70" s="733"/>
      <c r="Z70" s="733"/>
      <c r="AA70" s="733"/>
      <c r="AB70" s="733"/>
      <c r="AC70" s="733"/>
      <c r="AD70" s="733"/>
      <c r="AE70" s="733"/>
      <c r="AF70" s="733"/>
      <c r="AG70" s="733"/>
      <c r="AH70" s="733"/>
      <c r="AI70" s="734"/>
    </row>
    <row r="71" spans="2:35" ht="22.95" customHeight="1">
      <c r="B71" s="46"/>
      <c r="C71" s="641">
        <v>14</v>
      </c>
      <c r="D71" s="337"/>
      <c r="E71" s="641"/>
      <c r="F71" s="641"/>
      <c r="G71" s="640"/>
      <c r="H71" s="641"/>
      <c r="I71" s="641"/>
      <c r="J71" s="641"/>
      <c r="K71" s="357"/>
      <c r="L71" s="357"/>
      <c r="M71" s="357"/>
      <c r="N71" s="357"/>
      <c r="O71" s="357"/>
      <c r="P71" s="643"/>
      <c r="Q71" s="351">
        <f t="shared" si="4"/>
        <v>0</v>
      </c>
      <c r="R71" s="646"/>
      <c r="S71" s="647"/>
      <c r="T71" s="38"/>
      <c r="V71" s="732"/>
      <c r="W71" s="733"/>
      <c r="X71" s="733"/>
      <c r="Y71" s="733"/>
      <c r="Z71" s="733"/>
      <c r="AA71" s="733"/>
      <c r="AB71" s="733"/>
      <c r="AC71" s="733"/>
      <c r="AD71" s="733"/>
      <c r="AE71" s="733"/>
      <c r="AF71" s="733"/>
      <c r="AG71" s="733"/>
      <c r="AH71" s="733"/>
      <c r="AI71" s="734"/>
    </row>
    <row r="72" spans="2:35" ht="22.95" customHeight="1">
      <c r="B72" s="46"/>
      <c r="C72" s="641">
        <v>15</v>
      </c>
      <c r="D72" s="337"/>
      <c r="E72" s="641"/>
      <c r="F72" s="641"/>
      <c r="G72" s="640"/>
      <c r="H72" s="641"/>
      <c r="I72" s="641"/>
      <c r="J72" s="641"/>
      <c r="K72" s="357"/>
      <c r="L72" s="357"/>
      <c r="M72" s="357"/>
      <c r="N72" s="357"/>
      <c r="O72" s="357"/>
      <c r="P72" s="643"/>
      <c r="Q72" s="351">
        <f t="shared" si="4"/>
        <v>0</v>
      </c>
      <c r="R72" s="646"/>
      <c r="S72" s="647"/>
      <c r="T72" s="38"/>
      <c r="V72" s="732"/>
      <c r="W72" s="733"/>
      <c r="X72" s="733"/>
      <c r="Y72" s="733"/>
      <c r="Z72" s="733"/>
      <c r="AA72" s="733"/>
      <c r="AB72" s="733"/>
      <c r="AC72" s="733"/>
      <c r="AD72" s="733"/>
      <c r="AE72" s="733"/>
      <c r="AF72" s="733"/>
      <c r="AG72" s="733"/>
      <c r="AH72" s="733"/>
      <c r="AI72" s="734"/>
    </row>
    <row r="73" spans="2:35" ht="22.95" customHeight="1" thickBot="1">
      <c r="B73" s="46"/>
      <c r="C73" s="599"/>
      <c r="D73" s="599"/>
      <c r="E73" s="96"/>
      <c r="F73" s="96"/>
      <c r="G73" s="96"/>
      <c r="H73" s="1264" t="s">
        <v>714</v>
      </c>
      <c r="I73" s="1265"/>
      <c r="J73" s="1266"/>
      <c r="K73" s="105">
        <f t="shared" ref="K73:S73" si="5">SUM(K58:K72)</f>
        <v>0</v>
      </c>
      <c r="L73" s="101">
        <f t="shared" si="5"/>
        <v>0</v>
      </c>
      <c r="M73" s="104">
        <f t="shared" si="5"/>
        <v>0</v>
      </c>
      <c r="N73" s="104">
        <f t="shared" si="5"/>
        <v>0</v>
      </c>
      <c r="O73" s="105">
        <f t="shared" si="5"/>
        <v>0</v>
      </c>
      <c r="P73" s="105">
        <f t="shared" si="5"/>
        <v>0</v>
      </c>
      <c r="Q73" s="352">
        <f t="shared" si="5"/>
        <v>0</v>
      </c>
      <c r="R73" s="104">
        <f t="shared" si="5"/>
        <v>0</v>
      </c>
      <c r="S73" s="69">
        <f t="shared" si="5"/>
        <v>0</v>
      </c>
      <c r="T73" s="38"/>
      <c r="V73" s="732"/>
      <c r="W73" s="733"/>
      <c r="X73" s="733"/>
      <c r="Y73" s="733"/>
      <c r="Z73" s="733"/>
      <c r="AA73" s="733"/>
      <c r="AB73" s="733"/>
      <c r="AC73" s="733"/>
      <c r="AD73" s="733"/>
      <c r="AE73" s="733"/>
      <c r="AF73" s="733"/>
      <c r="AG73" s="733"/>
      <c r="AH73" s="733"/>
      <c r="AI73" s="734"/>
    </row>
    <row r="74" spans="2:35" ht="22.95" customHeight="1">
      <c r="B74" s="46"/>
      <c r="C74" s="599"/>
      <c r="D74" s="599"/>
      <c r="E74" s="96"/>
      <c r="F74" s="96"/>
      <c r="G74" s="96"/>
      <c r="H74" s="271"/>
      <c r="I74" s="271"/>
      <c r="J74" s="271"/>
      <c r="K74" s="96"/>
      <c r="L74" s="96"/>
      <c r="M74" s="96"/>
      <c r="N74" s="96"/>
      <c r="O74" s="96"/>
      <c r="P74" s="96"/>
      <c r="Q74" s="96"/>
      <c r="R74" s="96"/>
      <c r="S74" s="96"/>
      <c r="T74" s="38"/>
      <c r="V74" s="732"/>
      <c r="W74" s="733"/>
      <c r="X74" s="733"/>
      <c r="Y74" s="733"/>
      <c r="Z74" s="733"/>
      <c r="AA74" s="733"/>
      <c r="AB74" s="733"/>
      <c r="AC74" s="733"/>
      <c r="AD74" s="733"/>
      <c r="AE74" s="733"/>
      <c r="AF74" s="733"/>
      <c r="AG74" s="733"/>
      <c r="AH74" s="733"/>
      <c r="AI74" s="734"/>
    </row>
    <row r="75" spans="2:35" ht="22.95" customHeight="1">
      <c r="B75" s="46"/>
      <c r="C75" s="599"/>
      <c r="D75" s="599"/>
      <c r="E75" s="96"/>
      <c r="F75" s="96"/>
      <c r="G75" s="96"/>
      <c r="H75" s="271"/>
      <c r="I75" s="271"/>
      <c r="J75" s="271"/>
      <c r="K75" s="96"/>
      <c r="L75" s="96"/>
      <c r="M75" s="96"/>
      <c r="N75" s="96"/>
      <c r="O75" s="96"/>
      <c r="P75" s="96"/>
      <c r="Q75" s="96"/>
      <c r="R75" s="96"/>
      <c r="S75" s="96"/>
      <c r="T75" s="38"/>
      <c r="V75" s="732"/>
      <c r="W75" s="733"/>
      <c r="X75" s="733"/>
      <c r="Y75" s="733"/>
      <c r="Z75" s="733"/>
      <c r="AA75" s="733"/>
      <c r="AB75" s="733"/>
      <c r="AC75" s="733"/>
      <c r="AD75" s="733"/>
      <c r="AE75" s="733"/>
      <c r="AF75" s="733"/>
      <c r="AG75" s="733"/>
      <c r="AH75" s="733"/>
      <c r="AI75" s="734"/>
    </row>
    <row r="76" spans="2:35" s="109" customFormat="1" ht="18" customHeight="1">
      <c r="B76" s="353"/>
      <c r="C76" s="265" t="s">
        <v>224</v>
      </c>
      <c r="E76" s="354"/>
      <c r="F76" s="354"/>
      <c r="G76" s="354"/>
      <c r="H76" s="354"/>
      <c r="I76" s="354"/>
      <c r="J76" s="354"/>
      <c r="K76" s="354"/>
      <c r="L76" s="354"/>
      <c r="M76" s="354"/>
      <c r="N76" s="40"/>
      <c r="O76" s="40"/>
      <c r="P76" s="40"/>
      <c r="Q76" s="40"/>
      <c r="R76" s="40"/>
      <c r="S76" s="40"/>
      <c r="T76" s="112"/>
      <c r="V76" s="718"/>
      <c r="W76" s="719"/>
      <c r="X76" s="719"/>
      <c r="Y76" s="719"/>
      <c r="Z76" s="719"/>
      <c r="AA76" s="719"/>
      <c r="AB76" s="719"/>
      <c r="AC76" s="719"/>
      <c r="AD76" s="719"/>
      <c r="AE76" s="719"/>
      <c r="AF76" s="719"/>
      <c r="AG76" s="719"/>
      <c r="AH76" s="719"/>
      <c r="AI76" s="720"/>
    </row>
    <row r="77" spans="2:35" s="109" customFormat="1" ht="18" customHeight="1">
      <c r="B77" s="353"/>
      <c r="C77" s="109" t="s">
        <v>725</v>
      </c>
      <c r="E77" s="354"/>
      <c r="F77" s="354"/>
      <c r="G77" s="354"/>
      <c r="H77" s="354"/>
      <c r="I77" s="354"/>
      <c r="J77" s="354"/>
      <c r="K77" s="354"/>
      <c r="L77" s="354"/>
      <c r="M77" s="354"/>
      <c r="N77" s="40"/>
      <c r="O77" s="40"/>
      <c r="P77" s="40"/>
      <c r="Q77" s="40"/>
      <c r="R77" s="40"/>
      <c r="S77" s="40"/>
      <c r="T77" s="112"/>
      <c r="V77" s="718"/>
      <c r="W77" s="719"/>
      <c r="X77" s="719"/>
      <c r="Y77" s="719"/>
      <c r="Z77" s="719"/>
      <c r="AA77" s="719"/>
      <c r="AB77" s="719"/>
      <c r="AC77" s="719"/>
      <c r="AD77" s="719"/>
      <c r="AE77" s="719"/>
      <c r="AF77" s="719"/>
      <c r="AG77" s="719"/>
      <c r="AH77" s="719"/>
      <c r="AI77" s="720"/>
    </row>
    <row r="78" spans="2:35" s="109" customFormat="1" ht="18" customHeight="1">
      <c r="B78" s="353"/>
      <c r="C78" s="109" t="s">
        <v>726</v>
      </c>
      <c r="E78" s="354"/>
      <c r="F78" s="354"/>
      <c r="G78" s="354"/>
      <c r="H78" s="354"/>
      <c r="I78" s="354"/>
      <c r="J78" s="354"/>
      <c r="K78" s="354"/>
      <c r="L78" s="354"/>
      <c r="M78" s="354"/>
      <c r="N78" s="40"/>
      <c r="O78" s="40"/>
      <c r="P78" s="40"/>
      <c r="Q78" s="40"/>
      <c r="R78" s="40"/>
      <c r="S78" s="40"/>
      <c r="T78" s="112"/>
      <c r="V78" s="718"/>
      <c r="W78" s="719"/>
      <c r="X78" s="719"/>
      <c r="Y78" s="719"/>
      <c r="Z78" s="719"/>
      <c r="AA78" s="719"/>
      <c r="AB78" s="719"/>
      <c r="AC78" s="719"/>
      <c r="AD78" s="719"/>
      <c r="AE78" s="719"/>
      <c r="AF78" s="719"/>
      <c r="AG78" s="719"/>
      <c r="AH78" s="719"/>
      <c r="AI78" s="720"/>
    </row>
    <row r="79" spans="2:35" s="109" customFormat="1" ht="18" customHeight="1">
      <c r="B79" s="353"/>
      <c r="C79" s="109" t="s">
        <v>727</v>
      </c>
      <c r="E79" s="354"/>
      <c r="F79" s="354"/>
      <c r="G79" s="354"/>
      <c r="H79" s="354"/>
      <c r="I79" s="354"/>
      <c r="J79" s="354"/>
      <c r="K79" s="354"/>
      <c r="L79" s="354"/>
      <c r="M79" s="354"/>
      <c r="N79" s="40"/>
      <c r="O79" s="40"/>
      <c r="P79" s="40"/>
      <c r="Q79" s="40"/>
      <c r="R79" s="40"/>
      <c r="S79" s="40"/>
      <c r="T79" s="112"/>
      <c r="V79" s="718"/>
      <c r="W79" s="719"/>
      <c r="X79" s="719"/>
      <c r="Y79" s="719"/>
      <c r="Z79" s="719"/>
      <c r="AA79" s="719"/>
      <c r="AB79" s="719"/>
      <c r="AC79" s="719"/>
      <c r="AD79" s="719"/>
      <c r="AE79" s="719"/>
      <c r="AF79" s="719"/>
      <c r="AG79" s="719"/>
      <c r="AH79" s="719"/>
      <c r="AI79" s="720"/>
    </row>
    <row r="80" spans="2:35" s="109" customFormat="1" ht="18" customHeight="1">
      <c r="B80" s="353"/>
      <c r="C80" s="355" t="s">
        <v>728</v>
      </c>
      <c r="E80" s="354"/>
      <c r="F80" s="354"/>
      <c r="G80" s="354"/>
      <c r="H80" s="354"/>
      <c r="I80" s="354"/>
      <c r="J80" s="354"/>
      <c r="K80" s="354"/>
      <c r="L80" s="354"/>
      <c r="M80" s="354"/>
      <c r="N80" s="40"/>
      <c r="O80" s="40"/>
      <c r="P80" s="40"/>
      <c r="Q80" s="40"/>
      <c r="R80" s="40"/>
      <c r="S80" s="40"/>
      <c r="T80" s="112"/>
      <c r="V80" s="718"/>
      <c r="W80" s="719"/>
      <c r="X80" s="719"/>
      <c r="Y80" s="719"/>
      <c r="Z80" s="719"/>
      <c r="AA80" s="719"/>
      <c r="AB80" s="719"/>
      <c r="AC80" s="719"/>
      <c r="AD80" s="719"/>
      <c r="AE80" s="719"/>
      <c r="AF80" s="719"/>
      <c r="AG80" s="719"/>
      <c r="AH80" s="719"/>
      <c r="AI80" s="720"/>
    </row>
    <row r="81" spans="2:35" s="109" customFormat="1" ht="18" customHeight="1">
      <c r="B81" s="353"/>
      <c r="C81" s="355" t="s">
        <v>729</v>
      </c>
      <c r="E81" s="354"/>
      <c r="F81" s="354"/>
      <c r="G81" s="354"/>
      <c r="H81" s="354"/>
      <c r="I81" s="354"/>
      <c r="J81" s="354"/>
      <c r="K81" s="354"/>
      <c r="L81" s="354"/>
      <c r="M81" s="354"/>
      <c r="N81" s="40"/>
      <c r="O81" s="40"/>
      <c r="P81" s="40"/>
      <c r="Q81" s="40"/>
      <c r="R81" s="40"/>
      <c r="S81" s="40"/>
      <c r="T81" s="112"/>
      <c r="V81" s="718"/>
      <c r="W81" s="719"/>
      <c r="X81" s="719"/>
      <c r="Y81" s="719"/>
      <c r="Z81" s="719"/>
      <c r="AA81" s="719"/>
      <c r="AB81" s="719"/>
      <c r="AC81" s="719"/>
      <c r="AD81" s="719"/>
      <c r="AE81" s="719"/>
      <c r="AF81" s="719"/>
      <c r="AG81" s="719"/>
      <c r="AH81" s="719"/>
      <c r="AI81" s="720"/>
    </row>
    <row r="82" spans="2:35" s="109" customFormat="1" ht="18" customHeight="1">
      <c r="B82" s="353"/>
      <c r="C82" s="109" t="s">
        <v>730</v>
      </c>
      <c r="E82" s="354"/>
      <c r="F82" s="354"/>
      <c r="G82" s="354"/>
      <c r="H82" s="354"/>
      <c r="I82" s="354"/>
      <c r="J82" s="354"/>
      <c r="K82" s="354"/>
      <c r="L82" s="354"/>
      <c r="M82" s="354"/>
      <c r="N82" s="40"/>
      <c r="O82" s="40"/>
      <c r="P82" s="40"/>
      <c r="Q82" s="40"/>
      <c r="R82" s="40"/>
      <c r="S82" s="40"/>
      <c r="T82" s="112"/>
      <c r="V82" s="718"/>
      <c r="W82" s="719"/>
      <c r="X82" s="719"/>
      <c r="Y82" s="719"/>
      <c r="Z82" s="719"/>
      <c r="AA82" s="719"/>
      <c r="AB82" s="719"/>
      <c r="AC82" s="719"/>
      <c r="AD82" s="719"/>
      <c r="AE82" s="719"/>
      <c r="AF82" s="719"/>
      <c r="AG82" s="719"/>
      <c r="AH82" s="719"/>
      <c r="AI82" s="720"/>
    </row>
    <row r="83" spans="2:35" s="109" customFormat="1" ht="18" customHeight="1">
      <c r="B83" s="353"/>
      <c r="C83" s="355" t="s">
        <v>731</v>
      </c>
      <c r="E83" s="356"/>
      <c r="F83" s="356"/>
      <c r="G83" s="356"/>
      <c r="H83" s="356"/>
      <c r="I83" s="356"/>
      <c r="J83" s="356"/>
      <c r="K83" s="356"/>
      <c r="L83" s="356"/>
      <c r="M83" s="356"/>
      <c r="N83" s="40"/>
      <c r="O83" s="40"/>
      <c r="P83" s="40"/>
      <c r="Q83" s="40"/>
      <c r="R83" s="40"/>
      <c r="S83" s="40"/>
      <c r="T83" s="112"/>
      <c r="V83" s="718"/>
      <c r="W83" s="719"/>
      <c r="X83" s="719"/>
      <c r="Y83" s="719"/>
      <c r="Z83" s="719"/>
      <c r="AA83" s="719"/>
      <c r="AB83" s="719"/>
      <c r="AC83" s="719"/>
      <c r="AD83" s="719"/>
      <c r="AE83" s="719"/>
      <c r="AF83" s="719"/>
      <c r="AG83" s="719"/>
      <c r="AH83" s="719"/>
      <c r="AI83" s="720"/>
    </row>
    <row r="84" spans="2:35" s="109" customFormat="1" ht="18" customHeight="1">
      <c r="B84" s="353"/>
      <c r="C84" s="355" t="s">
        <v>732</v>
      </c>
      <c r="E84" s="356"/>
      <c r="F84" s="356"/>
      <c r="G84" s="356"/>
      <c r="H84" s="356"/>
      <c r="I84" s="356"/>
      <c r="J84" s="356"/>
      <c r="K84" s="356"/>
      <c r="L84" s="356"/>
      <c r="M84" s="356"/>
      <c r="N84" s="40"/>
      <c r="O84" s="40"/>
      <c r="P84" s="40"/>
      <c r="Q84" s="40"/>
      <c r="R84" s="40"/>
      <c r="S84" s="40"/>
      <c r="T84" s="112"/>
      <c r="V84" s="718"/>
      <c r="W84" s="719"/>
      <c r="X84" s="719"/>
      <c r="Y84" s="719"/>
      <c r="Z84" s="719"/>
      <c r="AA84" s="719"/>
      <c r="AB84" s="719"/>
      <c r="AC84" s="719"/>
      <c r="AD84" s="719"/>
      <c r="AE84" s="719"/>
      <c r="AF84" s="719"/>
      <c r="AG84" s="719"/>
      <c r="AH84" s="719"/>
      <c r="AI84" s="720"/>
    </row>
    <row r="85" spans="2:35" s="109" customFormat="1" ht="18" customHeight="1">
      <c r="B85" s="353"/>
      <c r="C85" s="355" t="s">
        <v>733</v>
      </c>
      <c r="E85" s="356"/>
      <c r="F85" s="356"/>
      <c r="G85" s="356"/>
      <c r="H85" s="356"/>
      <c r="I85" s="356"/>
      <c r="J85" s="356"/>
      <c r="K85" s="356"/>
      <c r="L85" s="356"/>
      <c r="M85" s="356"/>
      <c r="N85" s="40"/>
      <c r="O85" s="40"/>
      <c r="P85" s="40"/>
      <c r="Q85" s="40"/>
      <c r="R85" s="40"/>
      <c r="S85" s="40"/>
      <c r="T85" s="112"/>
      <c r="V85" s="718"/>
      <c r="W85" s="719"/>
      <c r="X85" s="719"/>
      <c r="Y85" s="719"/>
      <c r="Z85" s="719"/>
      <c r="AA85" s="719"/>
      <c r="AB85" s="719"/>
      <c r="AC85" s="719"/>
      <c r="AD85" s="719"/>
      <c r="AE85" s="719"/>
      <c r="AF85" s="719"/>
      <c r="AG85" s="719"/>
      <c r="AH85" s="719"/>
      <c r="AI85" s="720"/>
    </row>
    <row r="86" spans="2:35" s="109" customFormat="1" ht="18" customHeight="1">
      <c r="B86" s="353"/>
      <c r="C86" s="355" t="s">
        <v>734</v>
      </c>
      <c r="E86" s="356"/>
      <c r="F86" s="356"/>
      <c r="G86" s="356"/>
      <c r="H86" s="356"/>
      <c r="I86" s="356"/>
      <c r="J86" s="356"/>
      <c r="K86" s="356"/>
      <c r="L86" s="356"/>
      <c r="M86" s="356"/>
      <c r="N86" s="40"/>
      <c r="O86" s="40"/>
      <c r="P86" s="40"/>
      <c r="Q86" s="40"/>
      <c r="R86" s="40"/>
      <c r="S86" s="40"/>
      <c r="T86" s="112"/>
      <c r="V86" s="718"/>
      <c r="W86" s="719"/>
      <c r="X86" s="719"/>
      <c r="Y86" s="719"/>
      <c r="Z86" s="719"/>
      <c r="AA86" s="719"/>
      <c r="AB86" s="719"/>
      <c r="AC86" s="719"/>
      <c r="AD86" s="719"/>
      <c r="AE86" s="719"/>
      <c r="AF86" s="719"/>
      <c r="AG86" s="719"/>
      <c r="AH86" s="719"/>
      <c r="AI86" s="720"/>
    </row>
    <row r="87" spans="2:35" ht="22.95" customHeight="1" thickBot="1">
      <c r="B87" s="49"/>
      <c r="C87" s="1154"/>
      <c r="D87" s="1154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51"/>
      <c r="V87" s="727"/>
      <c r="W87" s="728"/>
      <c r="X87" s="728"/>
      <c r="Y87" s="728"/>
      <c r="Z87" s="728"/>
      <c r="AA87" s="728"/>
      <c r="AB87" s="728"/>
      <c r="AC87" s="728"/>
      <c r="AD87" s="728"/>
      <c r="AE87" s="728"/>
      <c r="AF87" s="728"/>
      <c r="AG87" s="728"/>
      <c r="AH87" s="728"/>
      <c r="AI87" s="729"/>
    </row>
    <row r="88" spans="2:35" ht="22.95" customHeight="1">
      <c r="U88" s="31" t="s">
        <v>179</v>
      </c>
    </row>
    <row r="89" spans="2:35" ht="13.2">
      <c r="C89" s="52" t="s">
        <v>52</v>
      </c>
      <c r="S89" s="29" t="s">
        <v>693</v>
      </c>
    </row>
    <row r="90" spans="2:35" ht="13.2">
      <c r="C90" s="52" t="s">
        <v>54</v>
      </c>
    </row>
    <row r="91" spans="2:35" ht="13.2">
      <c r="C91" s="52" t="s">
        <v>55</v>
      </c>
    </row>
    <row r="92" spans="2:35" ht="13.2">
      <c r="C92" s="52" t="s">
        <v>56</v>
      </c>
    </row>
    <row r="93" spans="2:35" ht="13.2">
      <c r="C93" s="52" t="s">
        <v>57</v>
      </c>
    </row>
  </sheetData>
  <sheetProtection algorithmName="SHA-512" hashValue="5rZmnO1IACuv7iqRhLlsPla/O2glfLYJDPXBLLzwVEhK16iaR1QzlP88rhV2+DmuB2Z0okrVkwkci4lApJFHQw==" saltValue="y+5WlvljBu7YU1N6X4pWxg==" spinCount="100000" sheet="1" insertRows="0"/>
  <mergeCells count="11">
    <mergeCell ref="S6:S7"/>
    <mergeCell ref="D9:S9"/>
    <mergeCell ref="C12:D12"/>
    <mergeCell ref="C87:D87"/>
    <mergeCell ref="R16:S16"/>
    <mergeCell ref="H28:J28"/>
    <mergeCell ref="H51:J51"/>
    <mergeCell ref="R56:S56"/>
    <mergeCell ref="H73:J73"/>
    <mergeCell ref="H50:J50"/>
    <mergeCell ref="R33:S33"/>
  </mergeCells>
  <phoneticPr fontId="16" type="noConversion"/>
  <dataValidations count="1">
    <dataValidation type="decimal" operator="lessThanOrEqual" allowBlank="1" showInputMessage="1" showErrorMessage="1" sqref="N18:N27 N35:N49 N58:N72" xr:uid="{00000000-0002-0000-0D00-000000000000}">
      <formula1>0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28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2:Y69"/>
  <sheetViews>
    <sheetView topLeftCell="A9" zoomScale="110" zoomScaleNormal="110" zoomScalePageLayoutView="125" workbookViewId="0">
      <selection activeCell="K17" sqref="K17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14.453125" style="31" customWidth="1"/>
    <col min="5" max="5" width="26.81640625" style="32" customWidth="1"/>
    <col min="6" max="9" width="13.453125" style="32" customWidth="1"/>
    <col min="10" max="10" width="3.453125" style="31" customWidth="1"/>
    <col min="11" max="16384" width="10.54296875" style="31"/>
  </cols>
  <sheetData>
    <row r="2" spans="1:25" ht="22.95" customHeight="1">
      <c r="D2" s="318" t="str">
        <f>_GENERAL!D2</f>
        <v>Área de la Presidenta: Igualdad y Diversidad, Hacienda y Proyectos Estratégicos</v>
      </c>
    </row>
    <row r="3" spans="1:25" ht="22.95" customHeight="1">
      <c r="D3" s="318" t="str">
        <f>_GENERAL!D3</f>
        <v>Dirección Insular de Hacienda</v>
      </c>
    </row>
    <row r="4" spans="1:25" ht="22.95" customHeight="1" thickBot="1">
      <c r="A4" s="31" t="s">
        <v>129</v>
      </c>
    </row>
    <row r="5" spans="1:25" ht="9" customHeight="1">
      <c r="B5" s="33"/>
      <c r="C5" s="34"/>
      <c r="D5" s="34"/>
      <c r="E5" s="35"/>
      <c r="F5" s="35"/>
      <c r="G5" s="35"/>
      <c r="H5" s="35"/>
      <c r="I5" s="35"/>
      <c r="J5" s="36"/>
      <c r="L5" s="700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2"/>
    </row>
    <row r="6" spans="1:25" ht="30" customHeight="1">
      <c r="B6" s="37"/>
      <c r="C6" s="28" t="s">
        <v>2</v>
      </c>
      <c r="I6" s="1138">
        <f>ejercicio</f>
        <v>2025</v>
      </c>
      <c r="J6" s="38"/>
      <c r="L6" s="163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6"/>
    </row>
    <row r="7" spans="1:25" ht="30" customHeight="1">
      <c r="B7" s="37"/>
      <c r="C7" s="28" t="s">
        <v>3</v>
      </c>
      <c r="I7" s="1138"/>
      <c r="J7" s="38"/>
      <c r="L7" s="167"/>
      <c r="M7" s="164" t="s">
        <v>130</v>
      </c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9"/>
    </row>
    <row r="8" spans="1:25" ht="30" customHeight="1">
      <c r="B8" s="37"/>
      <c r="C8" s="39"/>
      <c r="I8" s="40"/>
      <c r="J8" s="38"/>
      <c r="L8" s="706"/>
      <c r="M8" s="707"/>
      <c r="N8" s="707"/>
      <c r="O8" s="707"/>
      <c r="P8" s="707"/>
      <c r="Q8" s="707"/>
      <c r="R8" s="707"/>
      <c r="S8" s="707"/>
      <c r="T8" s="707"/>
      <c r="U8" s="707"/>
      <c r="V8" s="707"/>
      <c r="W8" s="707"/>
      <c r="X8" s="707"/>
      <c r="Y8" s="708"/>
    </row>
    <row r="9" spans="1:25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825"/>
      <c r="K9" s="892"/>
      <c r="L9" s="706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07"/>
      <c r="Y9" s="708"/>
    </row>
    <row r="10" spans="1:25" ht="7.2" customHeight="1">
      <c r="B10" s="37"/>
      <c r="J10" s="38"/>
      <c r="L10" s="706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07"/>
      <c r="Y10" s="708"/>
    </row>
    <row r="11" spans="1:25" s="45" customFormat="1" ht="30" customHeight="1">
      <c r="B11" s="41"/>
      <c r="C11" s="42" t="s">
        <v>735</v>
      </c>
      <c r="D11" s="42"/>
      <c r="E11" s="43"/>
      <c r="F11" s="43"/>
      <c r="G11" s="43"/>
      <c r="H11" s="43"/>
      <c r="I11" s="43"/>
      <c r="J11" s="44"/>
      <c r="L11" s="706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8"/>
    </row>
    <row r="12" spans="1:25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44"/>
      <c r="L12" s="706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8"/>
    </row>
    <row r="13" spans="1:25" s="45" customFormat="1" ht="16.2" customHeight="1">
      <c r="B13" s="41"/>
      <c r="C13" s="98"/>
      <c r="D13" s="99"/>
      <c r="E13" s="100"/>
      <c r="F13" s="877" t="s">
        <v>736</v>
      </c>
      <c r="G13" s="1276" t="s">
        <v>737</v>
      </c>
      <c r="H13" s="1277"/>
      <c r="I13" s="1278"/>
      <c r="J13" s="44"/>
      <c r="L13" s="706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8"/>
    </row>
    <row r="14" spans="1:25" s="45" customFormat="1" ht="16.2" customHeight="1">
      <c r="B14" s="41"/>
      <c r="C14" s="878"/>
      <c r="D14" s="879"/>
      <c r="E14" s="880"/>
      <c r="F14" s="91" t="s">
        <v>738</v>
      </c>
      <c r="G14" s="877" t="s">
        <v>739</v>
      </c>
      <c r="H14" s="877" t="s">
        <v>740</v>
      </c>
      <c r="I14" s="877" t="s">
        <v>741</v>
      </c>
      <c r="J14" s="44"/>
      <c r="L14" s="706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8"/>
    </row>
    <row r="15" spans="1:25" s="77" customFormat="1" ht="16.2" customHeight="1">
      <c r="A15" s="892"/>
      <c r="B15" s="824"/>
      <c r="C15" s="1279" t="s">
        <v>742</v>
      </c>
      <c r="D15" s="1280"/>
      <c r="E15" s="1281"/>
      <c r="F15" s="86">
        <f>ejercicio</f>
        <v>2025</v>
      </c>
      <c r="G15" s="86">
        <f>ejercicio</f>
        <v>2025</v>
      </c>
      <c r="H15" s="86">
        <f>ejercicio</f>
        <v>2025</v>
      </c>
      <c r="I15" s="86">
        <f>ejercicio</f>
        <v>2025</v>
      </c>
      <c r="J15" s="825"/>
      <c r="K15" s="892"/>
      <c r="L15" s="706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8"/>
    </row>
    <row r="16" spans="1:25" s="77" customFormat="1" ht="7.95" customHeight="1">
      <c r="A16" s="892"/>
      <c r="B16" s="824"/>
      <c r="C16" s="28"/>
      <c r="D16" s="28"/>
      <c r="E16" s="76"/>
      <c r="F16" s="76"/>
      <c r="G16" s="76"/>
      <c r="H16" s="76"/>
      <c r="I16" s="76"/>
      <c r="J16" s="825"/>
      <c r="K16" s="892"/>
      <c r="L16" s="706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8"/>
    </row>
    <row r="17" spans="1:25" s="17" customFormat="1" ht="49.5" customHeight="1">
      <c r="A17" s="892"/>
      <c r="B17" s="824"/>
      <c r="C17" s="1267" t="s">
        <v>743</v>
      </c>
      <c r="D17" s="1268"/>
      <c r="E17" s="1269"/>
      <c r="F17" s="864">
        <f>F18+F19</f>
        <v>0</v>
      </c>
      <c r="G17" s="881">
        <f>G18+G19</f>
        <v>0</v>
      </c>
      <c r="H17" s="882">
        <f t="shared" ref="H17:I17" si="0">H18+H19</f>
        <v>0</v>
      </c>
      <c r="I17" s="883">
        <f t="shared" si="0"/>
        <v>0</v>
      </c>
      <c r="J17" s="47"/>
      <c r="L17" s="706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8"/>
    </row>
    <row r="18" spans="1:25" s="17" customFormat="1" ht="16.95" customHeight="1">
      <c r="A18" s="892"/>
      <c r="B18" s="824"/>
      <c r="C18" s="865" t="s">
        <v>744</v>
      </c>
      <c r="D18" s="665"/>
      <c r="E18" s="866"/>
      <c r="F18" s="666"/>
      <c r="G18" s="667"/>
      <c r="H18" s="668"/>
      <c r="I18" s="669"/>
      <c r="J18" s="47"/>
      <c r="L18" s="706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8"/>
    </row>
    <row r="19" spans="1:25" s="17" customFormat="1" ht="22.95" customHeight="1">
      <c r="A19" s="892"/>
      <c r="B19" s="824"/>
      <c r="C19" s="865" t="s">
        <v>745</v>
      </c>
      <c r="D19" s="665"/>
      <c r="E19" s="866"/>
      <c r="F19" s="666"/>
      <c r="G19" s="667"/>
      <c r="H19" s="668"/>
      <c r="I19" s="669"/>
      <c r="J19" s="47"/>
      <c r="L19" s="706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8"/>
    </row>
    <row r="20" spans="1:25" s="17" customFormat="1" ht="22.95" customHeight="1">
      <c r="B20" s="46"/>
      <c r="C20" s="867" t="s">
        <v>746</v>
      </c>
      <c r="D20" s="868"/>
      <c r="E20" s="866"/>
      <c r="F20" s="869"/>
      <c r="G20" s="870"/>
      <c r="H20" s="871"/>
      <c r="I20" s="872"/>
      <c r="J20" s="47"/>
      <c r="L20" s="706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8"/>
    </row>
    <row r="21" spans="1:25" s="17" customFormat="1" ht="22.95" customHeight="1">
      <c r="B21" s="46"/>
      <c r="C21" s="867" t="s">
        <v>747</v>
      </c>
      <c r="D21" s="868"/>
      <c r="E21" s="866"/>
      <c r="F21" s="869"/>
      <c r="G21" s="870"/>
      <c r="H21" s="871"/>
      <c r="I21" s="872"/>
      <c r="J21" s="47"/>
      <c r="L21" s="706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8"/>
    </row>
    <row r="22" spans="1:25" s="17" customFormat="1" ht="48" customHeight="1">
      <c r="B22" s="46"/>
      <c r="C22" s="1267" t="s">
        <v>748</v>
      </c>
      <c r="D22" s="1268"/>
      <c r="E22" s="1269"/>
      <c r="F22" s="864">
        <f>SUM(F23:F27)</f>
        <v>0</v>
      </c>
      <c r="G22" s="881">
        <f t="shared" ref="G22:I22" si="1">SUM(G23:G27)</f>
        <v>0</v>
      </c>
      <c r="H22" s="882">
        <f t="shared" si="1"/>
        <v>0</v>
      </c>
      <c r="I22" s="883">
        <f t="shared" si="1"/>
        <v>0</v>
      </c>
      <c r="J22" s="47"/>
      <c r="L22" s="706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8"/>
    </row>
    <row r="23" spans="1:25" ht="22.95" customHeight="1">
      <c r="B23" s="46"/>
      <c r="C23" s="865" t="s">
        <v>749</v>
      </c>
      <c r="D23" s="665"/>
      <c r="E23" s="866"/>
      <c r="F23" s="666"/>
      <c r="G23" s="667"/>
      <c r="H23" s="668"/>
      <c r="I23" s="669"/>
      <c r="J23" s="38"/>
      <c r="L23" s="706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8"/>
    </row>
    <row r="24" spans="1:25" ht="49.95" customHeight="1">
      <c r="B24" s="46"/>
      <c r="C24" s="1273" t="s">
        <v>750</v>
      </c>
      <c r="D24" s="1274"/>
      <c r="E24" s="1275"/>
      <c r="F24" s="666"/>
      <c r="G24" s="667"/>
      <c r="H24" s="668"/>
      <c r="I24" s="669"/>
      <c r="J24" s="38"/>
      <c r="L24" s="706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8"/>
    </row>
    <row r="25" spans="1:25" ht="22.95" customHeight="1">
      <c r="B25" s="46"/>
      <c r="C25" s="865" t="s">
        <v>751</v>
      </c>
      <c r="D25" s="665"/>
      <c r="E25" s="660"/>
      <c r="F25" s="666"/>
      <c r="G25" s="667"/>
      <c r="H25" s="668"/>
      <c r="I25" s="669"/>
      <c r="J25" s="38"/>
      <c r="L25" s="706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8"/>
    </row>
    <row r="26" spans="1:25" ht="36" customHeight="1">
      <c r="B26" s="46"/>
      <c r="C26" s="1273" t="s">
        <v>752</v>
      </c>
      <c r="D26" s="1274"/>
      <c r="E26" s="1275"/>
      <c r="F26" s="666"/>
      <c r="G26" s="667"/>
      <c r="H26" s="668"/>
      <c r="I26" s="669"/>
      <c r="J26" s="38"/>
      <c r="L26" s="706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8"/>
    </row>
    <row r="27" spans="1:25" ht="22.95" customHeight="1">
      <c r="B27" s="46"/>
      <c r="C27" s="865" t="s">
        <v>753</v>
      </c>
      <c r="D27" s="665"/>
      <c r="E27" s="660"/>
      <c r="F27" s="666"/>
      <c r="G27" s="667"/>
      <c r="H27" s="668"/>
      <c r="I27" s="669"/>
      <c r="J27" s="38"/>
      <c r="L27" s="706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8"/>
    </row>
    <row r="28" spans="1:25" ht="22.95" customHeight="1">
      <c r="B28" s="37"/>
      <c r="C28" s="867" t="s">
        <v>754</v>
      </c>
      <c r="D28" s="868"/>
      <c r="E28" s="660"/>
      <c r="F28" s="869"/>
      <c r="G28" s="870"/>
      <c r="H28" s="871"/>
      <c r="I28" s="872"/>
      <c r="J28" s="38"/>
      <c r="L28" s="706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8"/>
    </row>
    <row r="29" spans="1:25" ht="22.95" customHeight="1">
      <c r="B29" s="37"/>
      <c r="C29" s="867" t="s">
        <v>755</v>
      </c>
      <c r="D29" s="868"/>
      <c r="E29" s="660"/>
      <c r="F29" s="869"/>
      <c r="G29" s="870"/>
      <c r="H29" s="871"/>
      <c r="I29" s="872"/>
      <c r="J29" s="38"/>
      <c r="L29" s="706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8"/>
    </row>
    <row r="30" spans="1:25" ht="22.95" customHeight="1">
      <c r="B30" s="37"/>
      <c r="C30" s="867" t="s">
        <v>756</v>
      </c>
      <c r="D30" s="868"/>
      <c r="E30" s="660"/>
      <c r="F30" s="869"/>
      <c r="G30" s="870"/>
      <c r="H30" s="871"/>
      <c r="I30" s="872"/>
      <c r="J30" s="38"/>
      <c r="L30" s="706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7"/>
      <c r="Y30" s="708"/>
    </row>
    <row r="31" spans="1:25" s="17" customFormat="1" ht="36" customHeight="1">
      <c r="A31" s="892"/>
      <c r="B31" s="824"/>
      <c r="C31" s="1267" t="s">
        <v>757</v>
      </c>
      <c r="D31" s="1268"/>
      <c r="E31" s="1269"/>
      <c r="F31" s="869"/>
      <c r="G31" s="870"/>
      <c r="H31" s="871"/>
      <c r="I31" s="872"/>
      <c r="J31" s="47"/>
      <c r="L31" s="706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8"/>
    </row>
    <row r="32" spans="1:25" s="17" customFormat="1" ht="36" customHeight="1">
      <c r="B32" s="46"/>
      <c r="C32" s="1267" t="s">
        <v>758</v>
      </c>
      <c r="D32" s="1268"/>
      <c r="E32" s="1269"/>
      <c r="F32" s="869"/>
      <c r="G32" s="870"/>
      <c r="H32" s="871"/>
      <c r="I32" s="872"/>
      <c r="J32" s="47"/>
      <c r="L32" s="706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8"/>
    </row>
    <row r="33" spans="2:25" ht="22.95" customHeight="1">
      <c r="B33" s="46"/>
      <c r="C33" s="867" t="s">
        <v>759</v>
      </c>
      <c r="D33" s="868"/>
      <c r="E33" s="660"/>
      <c r="F33" s="869"/>
      <c r="G33" s="870"/>
      <c r="H33" s="871"/>
      <c r="I33" s="872"/>
      <c r="J33" s="38"/>
      <c r="L33" s="706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8"/>
    </row>
    <row r="34" spans="2:25" ht="22.2" customHeight="1" thickBot="1">
      <c r="B34" s="37"/>
      <c r="C34" s="229" t="s">
        <v>760</v>
      </c>
      <c r="D34" s="230"/>
      <c r="E34" s="102"/>
      <c r="F34" s="69">
        <f>F17+SUM(F20:F22)+SUM(F28:F33)</f>
        <v>0</v>
      </c>
      <c r="G34" s="69">
        <f t="shared" ref="G34:I34" si="2">G17+SUM(G20:G22)+SUM(G28:G33)</f>
        <v>0</v>
      </c>
      <c r="H34" s="69">
        <f t="shared" si="2"/>
        <v>0</v>
      </c>
      <c r="I34" s="69">
        <f t="shared" si="2"/>
        <v>0</v>
      </c>
      <c r="J34" s="38"/>
      <c r="L34" s="706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8"/>
    </row>
    <row r="35" spans="2:25" ht="22.95" customHeight="1">
      <c r="B35" s="46"/>
      <c r="C35" s="867" t="s">
        <v>761</v>
      </c>
      <c r="D35" s="665"/>
      <c r="E35" s="660"/>
      <c r="F35" s="666"/>
      <c r="G35" s="667"/>
      <c r="H35" s="668"/>
      <c r="I35" s="669"/>
      <c r="J35" s="38"/>
      <c r="L35" s="706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8"/>
    </row>
    <row r="36" spans="2:25" ht="34.950000000000003" customHeight="1">
      <c r="B36" s="46"/>
      <c r="C36" s="1270" t="s">
        <v>762</v>
      </c>
      <c r="D36" s="1271"/>
      <c r="E36" s="1272"/>
      <c r="F36" s="666"/>
      <c r="G36" s="667"/>
      <c r="H36" s="668"/>
      <c r="I36" s="669"/>
      <c r="J36" s="38"/>
      <c r="L36" s="706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7"/>
      <c r="Y36" s="708"/>
    </row>
    <row r="37" spans="2:25" ht="34.950000000000003" customHeight="1">
      <c r="B37" s="46"/>
      <c r="C37" s="1270" t="s">
        <v>763</v>
      </c>
      <c r="D37" s="1271"/>
      <c r="E37" s="1272"/>
      <c r="F37" s="666"/>
      <c r="G37" s="667"/>
      <c r="H37" s="668"/>
      <c r="I37" s="669"/>
      <c r="J37" s="38"/>
      <c r="L37" s="706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7"/>
      <c r="Y37" s="708"/>
    </row>
    <row r="38" spans="2:25" ht="34.950000000000003" customHeight="1">
      <c r="B38" s="46"/>
      <c r="C38" s="1270" t="s">
        <v>764</v>
      </c>
      <c r="D38" s="1271"/>
      <c r="E38" s="1272"/>
      <c r="F38" s="666"/>
      <c r="G38" s="667"/>
      <c r="H38" s="668"/>
      <c r="I38" s="669"/>
      <c r="J38" s="38"/>
      <c r="L38" s="706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7"/>
      <c r="Y38" s="708"/>
    </row>
    <row r="39" spans="2:25" ht="22.95" customHeight="1" thickBot="1">
      <c r="B39" s="46"/>
      <c r="C39" s="229" t="s">
        <v>765</v>
      </c>
      <c r="D39" s="230"/>
      <c r="E39" s="102"/>
      <c r="F39" s="69">
        <f>SUM(F35:F38)</f>
        <v>0</v>
      </c>
      <c r="G39" s="69">
        <f t="shared" ref="G39:I39" si="3">SUM(G35:G38)</f>
        <v>0</v>
      </c>
      <c r="H39" s="69">
        <f t="shared" si="3"/>
        <v>0</v>
      </c>
      <c r="I39" s="69">
        <f t="shared" si="3"/>
        <v>0</v>
      </c>
      <c r="J39" s="38"/>
      <c r="L39" s="706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7"/>
      <c r="Y39" s="708"/>
    </row>
    <row r="40" spans="2:25" ht="36" customHeight="1" thickBot="1">
      <c r="B40" s="46"/>
      <c r="C40" s="1282" t="s">
        <v>766</v>
      </c>
      <c r="D40" s="1283"/>
      <c r="E40" s="1284"/>
      <c r="F40" s="69">
        <f>F41+F42</f>
        <v>0</v>
      </c>
      <c r="G40" s="69">
        <f>G41+G42</f>
        <v>0</v>
      </c>
      <c r="H40" s="69">
        <f>H41+H42</f>
        <v>0</v>
      </c>
      <c r="I40" s="69">
        <f>I41+I42</f>
        <v>0</v>
      </c>
      <c r="J40" s="38"/>
      <c r="L40" s="706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07"/>
      <c r="Y40" s="708"/>
    </row>
    <row r="41" spans="2:25" ht="18" customHeight="1">
      <c r="B41" s="46"/>
      <c r="C41" s="865" t="s">
        <v>767</v>
      </c>
      <c r="D41" s="665"/>
      <c r="E41" s="660"/>
      <c r="F41" s="666"/>
      <c r="G41" s="667"/>
      <c r="H41" s="668"/>
      <c r="I41" s="669"/>
      <c r="J41" s="38"/>
      <c r="L41" s="706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7"/>
      <c r="Y41" s="708"/>
    </row>
    <row r="42" spans="2:25" ht="22.95" customHeight="1">
      <c r="B42" s="46"/>
      <c r="C42" s="873" t="s">
        <v>768</v>
      </c>
      <c r="D42" s="670"/>
      <c r="E42" s="72"/>
      <c r="F42" s="666"/>
      <c r="G42" s="667"/>
      <c r="H42" s="668"/>
      <c r="I42" s="669"/>
      <c r="J42" s="38"/>
      <c r="L42" s="706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07"/>
      <c r="Y42" s="708"/>
    </row>
    <row r="43" spans="2:25" ht="16.95" customHeight="1" thickBot="1">
      <c r="B43" s="46"/>
      <c r="C43" s="1285" t="s">
        <v>769</v>
      </c>
      <c r="D43" s="1286"/>
      <c r="E43" s="1287"/>
      <c r="F43" s="69">
        <f>SUM(F44:F47)</f>
        <v>0</v>
      </c>
      <c r="G43" s="69">
        <f>SUM(G44:G47)</f>
        <v>0</v>
      </c>
      <c r="H43" s="69">
        <f>SUM(H44:H47)</f>
        <v>0</v>
      </c>
      <c r="I43" s="69">
        <f>SUM(I44:I47)</f>
        <v>0</v>
      </c>
      <c r="J43" s="38"/>
      <c r="L43" s="706"/>
      <c r="M43" s="707"/>
      <c r="N43" s="707"/>
      <c r="O43" s="707"/>
      <c r="P43" s="707"/>
      <c r="Q43" s="707"/>
      <c r="R43" s="707"/>
      <c r="S43" s="707"/>
      <c r="T43" s="707"/>
      <c r="U43" s="707"/>
      <c r="V43" s="707"/>
      <c r="W43" s="707"/>
      <c r="X43" s="707"/>
      <c r="Y43" s="708"/>
    </row>
    <row r="44" spans="2:25" ht="22.95" customHeight="1">
      <c r="B44" s="46"/>
      <c r="C44" s="865" t="s">
        <v>770</v>
      </c>
      <c r="D44" s="874"/>
      <c r="E44" s="875"/>
      <c r="F44" s="666"/>
      <c r="G44" s="667"/>
      <c r="H44" s="668"/>
      <c r="I44" s="669"/>
      <c r="J44" s="38"/>
      <c r="L44" s="706"/>
      <c r="M44" s="707"/>
      <c r="N44" s="707"/>
      <c r="O44" s="707"/>
      <c r="P44" s="707"/>
      <c r="Q44" s="707"/>
      <c r="R44" s="707"/>
      <c r="S44" s="707"/>
      <c r="T44" s="707"/>
      <c r="U44" s="707"/>
      <c r="V44" s="707"/>
      <c r="W44" s="707"/>
      <c r="X44" s="707"/>
      <c r="Y44" s="708"/>
    </row>
    <row r="45" spans="2:25" ht="22.95" customHeight="1">
      <c r="B45" s="46"/>
      <c r="C45" s="865" t="s">
        <v>771</v>
      </c>
      <c r="D45" s="874"/>
      <c r="E45" s="875"/>
      <c r="F45" s="666"/>
      <c r="G45" s="667"/>
      <c r="H45" s="668"/>
      <c r="I45" s="669"/>
      <c r="J45" s="38"/>
      <c r="L45" s="706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8"/>
    </row>
    <row r="46" spans="2:25" ht="22.95" customHeight="1">
      <c r="B46" s="46"/>
      <c r="C46" s="1273" t="s">
        <v>772</v>
      </c>
      <c r="D46" s="1274"/>
      <c r="E46" s="1275"/>
      <c r="F46" s="666"/>
      <c r="G46" s="667"/>
      <c r="H46" s="668"/>
      <c r="I46" s="669"/>
      <c r="J46" s="38"/>
      <c r="L46" s="706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8"/>
    </row>
    <row r="47" spans="2:25" ht="22.95" customHeight="1">
      <c r="B47" s="46"/>
      <c r="C47" s="865" t="s">
        <v>773</v>
      </c>
      <c r="D47" s="874"/>
      <c r="E47" s="875"/>
      <c r="F47" s="666"/>
      <c r="G47" s="667"/>
      <c r="H47" s="668"/>
      <c r="I47" s="669"/>
      <c r="J47" s="38"/>
      <c r="L47" s="706"/>
      <c r="M47" s="707"/>
      <c r="N47" s="707"/>
      <c r="O47" s="707"/>
      <c r="P47" s="707"/>
      <c r="Q47" s="707"/>
      <c r="R47" s="707"/>
      <c r="S47" s="707"/>
      <c r="T47" s="707"/>
      <c r="U47" s="707"/>
      <c r="V47" s="707"/>
      <c r="W47" s="707"/>
      <c r="X47" s="707"/>
      <c r="Y47" s="708"/>
    </row>
    <row r="48" spans="2:25" ht="22.95" customHeight="1" thickBot="1">
      <c r="B48" s="46"/>
      <c r="C48" s="229" t="s">
        <v>774</v>
      </c>
      <c r="D48" s="230"/>
      <c r="E48" s="102"/>
      <c r="F48" s="190"/>
      <c r="G48" s="191"/>
      <c r="H48" s="192"/>
      <c r="I48" s="201"/>
      <c r="J48" s="38"/>
      <c r="L48" s="706"/>
      <c r="M48" s="707"/>
      <c r="N48" s="707"/>
      <c r="O48" s="707"/>
      <c r="P48" s="707"/>
      <c r="Q48" s="707"/>
      <c r="R48" s="707"/>
      <c r="S48" s="707"/>
      <c r="T48" s="707"/>
      <c r="U48" s="707"/>
      <c r="V48" s="707"/>
      <c r="W48" s="707"/>
      <c r="X48" s="707"/>
      <c r="Y48" s="708"/>
    </row>
    <row r="49" spans="2:25" ht="36" customHeight="1" thickBot="1">
      <c r="B49" s="46"/>
      <c r="C49" s="1288" t="s">
        <v>775</v>
      </c>
      <c r="D49" s="1289"/>
      <c r="E49" s="1290"/>
      <c r="F49" s="876">
        <f>F48+F43+F40+F39+F34</f>
        <v>0</v>
      </c>
      <c r="G49" s="876">
        <f>G48+G43+G40+G39+G34</f>
        <v>0</v>
      </c>
      <c r="H49" s="876">
        <f>H48+H43+H40+H39+H34</f>
        <v>0</v>
      </c>
      <c r="I49" s="876">
        <f>I48+I43+I40+I39+I34</f>
        <v>0</v>
      </c>
      <c r="J49" s="38"/>
      <c r="L49" s="706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8"/>
    </row>
    <row r="50" spans="2:25" ht="22.95" customHeight="1">
      <c r="B50" s="46"/>
      <c r="C50" s="886"/>
      <c r="D50" s="886"/>
      <c r="E50" s="886"/>
      <c r="F50" s="96"/>
      <c r="G50" s="96"/>
      <c r="H50" s="96"/>
      <c r="I50" s="96"/>
      <c r="J50" s="38"/>
      <c r="L50" s="706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8"/>
    </row>
    <row r="51" spans="2:25" ht="27" customHeight="1">
      <c r="B51" s="46"/>
      <c r="C51" s="98"/>
      <c r="D51" s="99"/>
      <c r="E51" s="100"/>
      <c r="F51" s="877" t="s">
        <v>736</v>
      </c>
      <c r="G51" s="1276" t="s">
        <v>737</v>
      </c>
      <c r="H51" s="1277"/>
      <c r="I51" s="1278"/>
      <c r="J51" s="38"/>
      <c r="L51" s="706"/>
      <c r="M51" s="707"/>
      <c r="N51" s="707"/>
      <c r="O51" s="707"/>
      <c r="P51" s="707"/>
      <c r="Q51" s="707"/>
      <c r="R51" s="707"/>
      <c r="S51" s="707"/>
      <c r="T51" s="707"/>
      <c r="U51" s="707"/>
      <c r="V51" s="707"/>
      <c r="W51" s="707"/>
      <c r="X51" s="707"/>
      <c r="Y51" s="708"/>
    </row>
    <row r="52" spans="2:25" ht="22.95" customHeight="1">
      <c r="B52" s="46"/>
      <c r="C52" s="878"/>
      <c r="D52" s="879"/>
      <c r="E52" s="880"/>
      <c r="F52" s="91" t="s">
        <v>738</v>
      </c>
      <c r="G52" s="877" t="s">
        <v>739</v>
      </c>
      <c r="H52" s="877" t="s">
        <v>740</v>
      </c>
      <c r="I52" s="877" t="s">
        <v>741</v>
      </c>
      <c r="J52" s="38"/>
      <c r="L52" s="706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07"/>
      <c r="X52" s="707"/>
      <c r="Y52" s="708"/>
    </row>
    <row r="53" spans="2:25" ht="19.2" customHeight="1">
      <c r="B53" s="46"/>
      <c r="C53" s="1279" t="s">
        <v>742</v>
      </c>
      <c r="D53" s="1280"/>
      <c r="E53" s="1281"/>
      <c r="F53" s="86">
        <f>ejercicio</f>
        <v>2025</v>
      </c>
      <c r="G53" s="86">
        <f>ejercicio</f>
        <v>2025</v>
      </c>
      <c r="H53" s="86">
        <f>ejercicio</f>
        <v>2025</v>
      </c>
      <c r="I53" s="86">
        <f>ejercicio</f>
        <v>2025</v>
      </c>
      <c r="J53" s="38"/>
      <c r="L53" s="706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8"/>
    </row>
    <row r="54" spans="2:25" ht="22.95" customHeight="1">
      <c r="B54" s="46"/>
      <c r="C54" s="886"/>
      <c r="D54" s="886"/>
      <c r="E54" s="886"/>
      <c r="F54" s="96"/>
      <c r="G54" s="96"/>
      <c r="H54" s="96"/>
      <c r="I54" s="96"/>
      <c r="J54" s="38"/>
      <c r="L54" s="706"/>
      <c r="M54" s="707"/>
      <c r="N54" s="707"/>
      <c r="O54" s="707"/>
      <c r="P54" s="707"/>
      <c r="Q54" s="707"/>
      <c r="R54" s="707"/>
      <c r="S54" s="707"/>
      <c r="T54" s="707"/>
      <c r="U54" s="707"/>
      <c r="V54" s="707"/>
      <c r="W54" s="707"/>
      <c r="X54" s="707"/>
      <c r="Y54" s="708"/>
    </row>
    <row r="55" spans="2:25" ht="18" customHeight="1">
      <c r="B55" s="46"/>
      <c r="C55" s="1267" t="s">
        <v>776</v>
      </c>
      <c r="D55" s="1268"/>
      <c r="E55" s="1269"/>
      <c r="F55" s="869"/>
      <c r="G55" s="870"/>
      <c r="H55" s="871"/>
      <c r="I55" s="872"/>
      <c r="J55" s="38"/>
      <c r="L55" s="706"/>
      <c r="M55" s="707"/>
      <c r="N55" s="707"/>
      <c r="O55" s="707"/>
      <c r="P55" s="707"/>
      <c r="Q55" s="707"/>
      <c r="R55" s="707"/>
      <c r="S55" s="707"/>
      <c r="T55" s="707"/>
      <c r="U55" s="707"/>
      <c r="V55" s="707"/>
      <c r="W55" s="707"/>
      <c r="X55" s="707"/>
      <c r="Y55" s="708"/>
    </row>
    <row r="56" spans="2:25" ht="36" customHeight="1">
      <c r="B56" s="46"/>
      <c r="C56" s="1267" t="s">
        <v>777</v>
      </c>
      <c r="D56" s="1268"/>
      <c r="E56" s="1269"/>
      <c r="F56" s="884">
        <f>SUM(F57:F60)</f>
        <v>0</v>
      </c>
      <c r="G56" s="885">
        <f>SUM(G57:G60)</f>
        <v>0</v>
      </c>
      <c r="H56" s="885">
        <f>SUM(H57:H60)</f>
        <v>0</v>
      </c>
      <c r="I56" s="885">
        <f>SUM(I57:I60)</f>
        <v>0</v>
      </c>
      <c r="J56" s="38"/>
      <c r="L56" s="706"/>
      <c r="M56" s="707"/>
      <c r="N56" s="707"/>
      <c r="O56" s="707"/>
      <c r="P56" s="707"/>
      <c r="Q56" s="707"/>
      <c r="R56" s="707"/>
      <c r="S56" s="707"/>
      <c r="T56" s="707"/>
      <c r="U56" s="707"/>
      <c r="V56" s="707"/>
      <c r="W56" s="707"/>
      <c r="X56" s="707"/>
      <c r="Y56" s="708"/>
    </row>
    <row r="57" spans="2:25" ht="36" customHeight="1">
      <c r="B57" s="46"/>
      <c r="C57" s="1273" t="s">
        <v>778</v>
      </c>
      <c r="D57" s="1274"/>
      <c r="E57" s="1275"/>
      <c r="F57" s="666"/>
      <c r="G57" s="667"/>
      <c r="H57" s="668"/>
      <c r="I57" s="669"/>
      <c r="J57" s="38"/>
      <c r="L57" s="706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8"/>
    </row>
    <row r="58" spans="2:25" ht="15">
      <c r="B58" s="46"/>
      <c r="C58" s="1273" t="s">
        <v>779</v>
      </c>
      <c r="D58" s="1274"/>
      <c r="E58" s="1275"/>
      <c r="F58" s="666"/>
      <c r="G58" s="667"/>
      <c r="H58" s="668"/>
      <c r="I58" s="669"/>
      <c r="J58" s="38"/>
      <c r="L58" s="706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07"/>
      <c r="Y58" s="708"/>
    </row>
    <row r="59" spans="2:25" ht="15">
      <c r="B59" s="46"/>
      <c r="C59" s="1273" t="s">
        <v>780</v>
      </c>
      <c r="D59" s="1274"/>
      <c r="E59" s="1275"/>
      <c r="F59" s="666"/>
      <c r="G59" s="667"/>
      <c r="H59" s="668"/>
      <c r="I59" s="669"/>
      <c r="J59" s="38"/>
      <c r="L59" s="706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07"/>
      <c r="Y59" s="708"/>
    </row>
    <row r="60" spans="2:25" ht="22.95" customHeight="1">
      <c r="B60" s="46"/>
      <c r="C60" s="1273" t="s">
        <v>781</v>
      </c>
      <c r="D60" s="1274"/>
      <c r="E60" s="1275"/>
      <c r="F60" s="661"/>
      <c r="G60" s="662"/>
      <c r="H60" s="663"/>
      <c r="I60" s="664"/>
      <c r="J60" s="38"/>
      <c r="L60" s="706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07"/>
      <c r="Y60" s="708"/>
    </row>
    <row r="61" spans="2:25" ht="22.95" customHeight="1">
      <c r="B61" s="46"/>
      <c r="C61" s="887"/>
      <c r="D61" s="65"/>
      <c r="E61" s="66"/>
      <c r="F61" s="66"/>
      <c r="G61" s="66"/>
      <c r="H61" s="66"/>
      <c r="I61" s="30"/>
      <c r="J61" s="38"/>
      <c r="L61" s="706"/>
      <c r="M61" s="707"/>
      <c r="N61" s="707"/>
      <c r="O61" s="707"/>
      <c r="P61" s="707"/>
      <c r="Q61" s="707"/>
      <c r="R61" s="707"/>
      <c r="S61" s="707"/>
      <c r="T61" s="707"/>
      <c r="U61" s="707"/>
      <c r="V61" s="707"/>
      <c r="W61" s="707"/>
      <c r="X61" s="707"/>
      <c r="Y61" s="708"/>
    </row>
    <row r="62" spans="2:25" ht="17.399999999999999">
      <c r="B62" s="46"/>
      <c r="C62" s="887"/>
      <c r="D62" s="65"/>
      <c r="E62" s="66"/>
      <c r="F62" s="66"/>
      <c r="G62" s="66"/>
      <c r="H62" s="66"/>
      <c r="I62" s="30"/>
      <c r="J62" s="38"/>
      <c r="L62" s="706"/>
      <c r="M62" s="707"/>
      <c r="N62" s="707"/>
      <c r="O62" s="707"/>
      <c r="P62" s="707"/>
      <c r="Q62" s="707"/>
      <c r="R62" s="707"/>
      <c r="S62" s="707"/>
      <c r="T62" s="707"/>
      <c r="U62" s="707"/>
      <c r="V62" s="707"/>
      <c r="W62" s="707"/>
      <c r="X62" s="707"/>
      <c r="Y62" s="708"/>
    </row>
    <row r="63" spans="2:25" ht="16.2" customHeight="1" thickBot="1">
      <c r="B63" s="49"/>
      <c r="C63" s="1154"/>
      <c r="D63" s="1154"/>
      <c r="E63" s="1154"/>
      <c r="F63" s="1154"/>
      <c r="G63" s="25"/>
      <c r="H63" s="25"/>
      <c r="I63" s="50"/>
      <c r="J63" s="51"/>
      <c r="L63" s="715"/>
      <c r="M63" s="716"/>
      <c r="N63" s="716"/>
      <c r="O63" s="716"/>
      <c r="P63" s="716"/>
      <c r="Q63" s="716"/>
      <c r="R63" s="716"/>
      <c r="S63" s="716"/>
      <c r="T63" s="716"/>
      <c r="U63" s="716"/>
      <c r="V63" s="716"/>
      <c r="W63" s="716"/>
      <c r="X63" s="716"/>
      <c r="Y63" s="717"/>
    </row>
    <row r="64" spans="2:25" ht="13.2">
      <c r="K64" s="31" t="s">
        <v>179</v>
      </c>
    </row>
    <row r="65" spans="3:9" ht="15" customHeight="1">
      <c r="C65" s="52" t="s">
        <v>52</v>
      </c>
      <c r="I65" s="29" t="s">
        <v>782</v>
      </c>
    </row>
    <row r="66" spans="3:9" ht="15" customHeight="1">
      <c r="C66" s="52" t="s">
        <v>54</v>
      </c>
    </row>
    <row r="67" spans="3:9" ht="15" customHeight="1">
      <c r="C67" s="52" t="s">
        <v>55</v>
      </c>
    </row>
    <row r="68" spans="3:9" ht="15" customHeight="1">
      <c r="C68" s="52" t="s">
        <v>56</v>
      </c>
    </row>
    <row r="69" spans="3:9" ht="15" customHeight="1">
      <c r="C69" s="52" t="s">
        <v>57</v>
      </c>
    </row>
  </sheetData>
  <sheetProtection algorithmName="SHA-512" hashValue="NLnJOGB2N8CRkuz7+wxAZTG3ZFrWJgFQ8xF3DhG7lXbqKFfZim6wd4VBVihIj33xbzG4Uq0Q8EcgcDboXYS/Fw==" saltValue="0DjBeFEZWpJmvkJwwporgA==" spinCount="100000" sheet="1" objects="1" scenarios="1"/>
  <mergeCells count="27">
    <mergeCell ref="C57:E57"/>
    <mergeCell ref="C58:E58"/>
    <mergeCell ref="C59:E59"/>
    <mergeCell ref="C60:E60"/>
    <mergeCell ref="C63:F63"/>
    <mergeCell ref="C49:E49"/>
    <mergeCell ref="G51:I51"/>
    <mergeCell ref="C53:E53"/>
    <mergeCell ref="C55:E55"/>
    <mergeCell ref="C56:E56"/>
    <mergeCell ref="C37:E37"/>
    <mergeCell ref="C38:E38"/>
    <mergeCell ref="C40:E40"/>
    <mergeCell ref="C43:E43"/>
    <mergeCell ref="C46:E46"/>
    <mergeCell ref="G13:I13"/>
    <mergeCell ref="C15:E15"/>
    <mergeCell ref="I6:I7"/>
    <mergeCell ref="D9:I9"/>
    <mergeCell ref="C12:D12"/>
    <mergeCell ref="C32:E32"/>
    <mergeCell ref="C36:E36"/>
    <mergeCell ref="C17:E17"/>
    <mergeCell ref="C22:E22"/>
    <mergeCell ref="C24:E24"/>
    <mergeCell ref="C26:E26"/>
    <mergeCell ref="C31:E31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48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2:AE69"/>
  <sheetViews>
    <sheetView topLeftCell="I10" zoomScale="125" zoomScaleNormal="125" zoomScalePageLayoutView="125" workbookViewId="0">
      <selection activeCell="C15" sqref="C15:E15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33.453125" style="31" customWidth="1"/>
    <col min="5" max="15" width="13.453125" style="32" customWidth="1"/>
    <col min="16" max="16" width="3.453125" style="31" customWidth="1"/>
    <col min="17" max="16384" width="10.54296875" style="31"/>
  </cols>
  <sheetData>
    <row r="2" spans="1:31" ht="22.95" customHeight="1">
      <c r="D2" s="318" t="str">
        <f>_GENERAL!D2</f>
        <v>Área de la Presidenta: Igualdad y Diversidad, Hacienda y Proyectos Estratégicos</v>
      </c>
    </row>
    <row r="3" spans="1:31" ht="22.95" customHeight="1">
      <c r="D3" s="318" t="str">
        <f>_GENERAL!D3</f>
        <v>Dirección Insular de Hacienda</v>
      </c>
    </row>
    <row r="4" spans="1:31" ht="22.95" customHeight="1" thickBot="1">
      <c r="A4" s="31" t="s">
        <v>129</v>
      </c>
    </row>
    <row r="5" spans="1:31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6"/>
      <c r="R5" s="700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2"/>
    </row>
    <row r="6" spans="1:31" ht="30" customHeight="1">
      <c r="B6" s="37"/>
      <c r="C6" s="28" t="s">
        <v>2</v>
      </c>
      <c r="O6" s="1138">
        <f>ejercicio</f>
        <v>2025</v>
      </c>
      <c r="P6" s="38"/>
      <c r="R6" s="163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6"/>
    </row>
    <row r="7" spans="1:31" ht="30" customHeight="1">
      <c r="B7" s="37"/>
      <c r="C7" s="28" t="s">
        <v>3</v>
      </c>
      <c r="O7" s="1138"/>
      <c r="P7" s="38"/>
      <c r="R7" s="167"/>
      <c r="S7" s="164" t="s">
        <v>130</v>
      </c>
      <c r="T7" s="168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9"/>
    </row>
    <row r="8" spans="1:31" ht="30" customHeight="1">
      <c r="B8" s="37"/>
      <c r="C8" s="39"/>
      <c r="O8" s="40"/>
      <c r="P8" s="38"/>
      <c r="R8" s="736"/>
      <c r="S8" s="707"/>
      <c r="T8" s="707"/>
      <c r="U8" s="707"/>
      <c r="V8" s="707"/>
      <c r="W8" s="707"/>
      <c r="X8" s="707"/>
      <c r="Y8" s="707"/>
      <c r="Z8" s="707"/>
      <c r="AA8" s="707"/>
      <c r="AB8" s="707"/>
      <c r="AC8" s="707"/>
      <c r="AD8" s="707"/>
      <c r="AE8" s="737"/>
    </row>
    <row r="9" spans="1:31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825"/>
      <c r="Q9" s="892"/>
      <c r="R9" s="736"/>
      <c r="S9" s="707"/>
      <c r="T9" s="707"/>
      <c r="U9" s="707"/>
      <c r="V9" s="707"/>
      <c r="W9" s="707"/>
      <c r="X9" s="707"/>
      <c r="Y9" s="707"/>
      <c r="Z9" s="707"/>
      <c r="AA9" s="707"/>
      <c r="AB9" s="707"/>
      <c r="AC9" s="707"/>
      <c r="AD9" s="707"/>
      <c r="AE9" s="737"/>
    </row>
    <row r="10" spans="1:31" ht="7.2" customHeight="1">
      <c r="B10" s="37"/>
      <c r="P10" s="38"/>
      <c r="R10" s="736"/>
      <c r="S10" s="707"/>
      <c r="T10" s="707"/>
      <c r="U10" s="707"/>
      <c r="V10" s="707"/>
      <c r="W10" s="707"/>
      <c r="X10" s="707"/>
      <c r="Y10" s="707"/>
      <c r="Z10" s="707"/>
      <c r="AA10" s="707"/>
      <c r="AB10" s="707"/>
      <c r="AC10" s="707"/>
      <c r="AD10" s="707"/>
      <c r="AE10" s="737"/>
    </row>
    <row r="11" spans="1:31" s="45" customFormat="1" ht="30" customHeight="1">
      <c r="B11" s="41"/>
      <c r="C11" s="42" t="s">
        <v>783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4"/>
      <c r="R11" s="736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37"/>
    </row>
    <row r="12" spans="1:31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44"/>
      <c r="R12" s="736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37"/>
    </row>
    <row r="13" spans="1:31" s="45" customFormat="1" ht="18" customHeight="1">
      <c r="B13" s="41"/>
      <c r="C13" s="1300"/>
      <c r="D13" s="1301"/>
      <c r="E13" s="1302"/>
      <c r="F13" s="1295" t="s">
        <v>784</v>
      </c>
      <c r="G13" s="1296"/>
      <c r="H13" s="1296"/>
      <c r="I13" s="1296"/>
      <c r="J13" s="1296"/>
      <c r="K13" s="1296"/>
      <c r="L13" s="1296"/>
      <c r="M13" s="888">
        <f>ejercicio</f>
        <v>2025</v>
      </c>
      <c r="N13" s="888"/>
      <c r="O13" s="889"/>
      <c r="P13" s="44"/>
      <c r="R13" s="736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37"/>
    </row>
    <row r="14" spans="1:31" s="77" customFormat="1" ht="18" customHeight="1">
      <c r="A14" s="892"/>
      <c r="B14" s="824"/>
      <c r="C14" s="1279" t="s">
        <v>742</v>
      </c>
      <c r="D14" s="1280"/>
      <c r="E14" s="1281"/>
      <c r="F14" s="106">
        <f>ejercicio+1</f>
        <v>2026</v>
      </c>
      <c r="G14" s="107">
        <f>ejercicio+2</f>
        <v>2027</v>
      </c>
      <c r="H14" s="107">
        <f>ejercicio+3</f>
        <v>2028</v>
      </c>
      <c r="I14" s="107">
        <f>ejercicio+4</f>
        <v>2029</v>
      </c>
      <c r="J14" s="107">
        <f>ejercicio+5</f>
        <v>2030</v>
      </c>
      <c r="K14" s="107">
        <f>ejercicio+6</f>
        <v>2031</v>
      </c>
      <c r="L14" s="107">
        <f>ejercicio+7</f>
        <v>2032</v>
      </c>
      <c r="M14" s="107">
        <f>ejercicio+8</f>
        <v>2033</v>
      </c>
      <c r="N14" s="107">
        <f>ejercicio+9</f>
        <v>2034</v>
      </c>
      <c r="O14" s="108">
        <f>ejercicio+10</f>
        <v>2035</v>
      </c>
      <c r="P14" s="825"/>
      <c r="Q14" s="892"/>
      <c r="R14" s="736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37"/>
    </row>
    <row r="15" spans="1:31" s="17" customFormat="1" ht="18" customHeight="1">
      <c r="B15" s="46"/>
      <c r="C15" s="1303"/>
      <c r="D15" s="1304"/>
      <c r="E15" s="1305"/>
      <c r="F15" s="890"/>
      <c r="G15" s="890"/>
      <c r="H15" s="890"/>
      <c r="I15" s="890"/>
      <c r="J15" s="890"/>
      <c r="K15" s="890"/>
      <c r="L15" s="890"/>
      <c r="M15" s="890"/>
      <c r="N15" s="890"/>
      <c r="O15" s="890"/>
      <c r="P15" s="47"/>
      <c r="R15" s="736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37"/>
    </row>
    <row r="16" spans="1:31" s="17" customFormat="1" ht="51" customHeight="1">
      <c r="B16" s="46"/>
      <c r="C16" s="1297" t="s">
        <v>743</v>
      </c>
      <c r="D16" s="1298"/>
      <c r="E16" s="1299"/>
      <c r="F16" s="891">
        <f t="shared" ref="F16:O16" si="0">F17+F18</f>
        <v>0</v>
      </c>
      <c r="G16" s="891">
        <f t="shared" si="0"/>
        <v>0</v>
      </c>
      <c r="H16" s="891">
        <f t="shared" si="0"/>
        <v>0</v>
      </c>
      <c r="I16" s="891">
        <f t="shared" si="0"/>
        <v>0</v>
      </c>
      <c r="J16" s="891">
        <f t="shared" si="0"/>
        <v>0</v>
      </c>
      <c r="K16" s="891">
        <f t="shared" si="0"/>
        <v>0</v>
      </c>
      <c r="L16" s="891">
        <f t="shared" si="0"/>
        <v>0</v>
      </c>
      <c r="M16" s="891">
        <f t="shared" si="0"/>
        <v>0</v>
      </c>
      <c r="N16" s="891">
        <f t="shared" si="0"/>
        <v>0</v>
      </c>
      <c r="O16" s="891">
        <f t="shared" si="0"/>
        <v>0</v>
      </c>
      <c r="P16" s="47"/>
      <c r="R16" s="736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37"/>
    </row>
    <row r="17" spans="1:31" s="17" customFormat="1" ht="18" customHeight="1">
      <c r="B17" s="46"/>
      <c r="C17" s="865" t="s">
        <v>744</v>
      </c>
      <c r="D17" s="665"/>
      <c r="E17" s="866"/>
      <c r="F17" s="666"/>
      <c r="G17" s="666"/>
      <c r="H17" s="666"/>
      <c r="I17" s="666"/>
      <c r="J17" s="666"/>
      <c r="K17" s="666"/>
      <c r="L17" s="666"/>
      <c r="M17" s="666"/>
      <c r="N17" s="666"/>
      <c r="O17" s="666"/>
      <c r="P17" s="47"/>
      <c r="R17" s="736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37"/>
    </row>
    <row r="18" spans="1:31" ht="18" customHeight="1">
      <c r="B18" s="46"/>
      <c r="C18" s="865" t="s">
        <v>745</v>
      </c>
      <c r="D18" s="665"/>
      <c r="E18" s="866"/>
      <c r="F18" s="666"/>
      <c r="G18" s="666"/>
      <c r="H18" s="666"/>
      <c r="I18" s="666"/>
      <c r="J18" s="666"/>
      <c r="K18" s="666"/>
      <c r="L18" s="666"/>
      <c r="M18" s="666"/>
      <c r="N18" s="666"/>
      <c r="O18" s="666"/>
      <c r="P18" s="38"/>
      <c r="R18" s="736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37"/>
    </row>
    <row r="19" spans="1:31" ht="18" customHeight="1">
      <c r="B19" s="46"/>
      <c r="C19" s="867" t="s">
        <v>746</v>
      </c>
      <c r="D19" s="868"/>
      <c r="E19" s="866"/>
      <c r="F19" s="869"/>
      <c r="G19" s="869"/>
      <c r="H19" s="869"/>
      <c r="I19" s="869"/>
      <c r="J19" s="869"/>
      <c r="K19" s="869"/>
      <c r="L19" s="869"/>
      <c r="M19" s="869"/>
      <c r="N19" s="869"/>
      <c r="O19" s="869"/>
      <c r="P19" s="38"/>
      <c r="R19" s="736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37"/>
    </row>
    <row r="20" spans="1:31" ht="18" customHeight="1">
      <c r="B20" s="46"/>
      <c r="C20" s="867" t="s">
        <v>747</v>
      </c>
      <c r="D20" s="868"/>
      <c r="E20" s="866"/>
      <c r="F20" s="869"/>
      <c r="G20" s="869"/>
      <c r="H20" s="869"/>
      <c r="I20" s="869"/>
      <c r="J20" s="869"/>
      <c r="K20" s="869"/>
      <c r="L20" s="869"/>
      <c r="M20" s="869"/>
      <c r="N20" s="869"/>
      <c r="O20" s="869"/>
      <c r="P20" s="38"/>
      <c r="R20" s="736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37"/>
    </row>
    <row r="21" spans="1:31" ht="51" customHeight="1">
      <c r="B21" s="46"/>
      <c r="C21" s="1267" t="s">
        <v>748</v>
      </c>
      <c r="D21" s="1268"/>
      <c r="E21" s="1269"/>
      <c r="F21" s="864">
        <f t="shared" ref="F21:O21" si="1">SUM(F22:F26)</f>
        <v>0</v>
      </c>
      <c r="G21" s="864">
        <f t="shared" si="1"/>
        <v>0</v>
      </c>
      <c r="H21" s="864">
        <f t="shared" si="1"/>
        <v>0</v>
      </c>
      <c r="I21" s="864">
        <f t="shared" si="1"/>
        <v>0</v>
      </c>
      <c r="J21" s="864">
        <f t="shared" si="1"/>
        <v>0</v>
      </c>
      <c r="K21" s="864">
        <f t="shared" si="1"/>
        <v>0</v>
      </c>
      <c r="L21" s="864">
        <f t="shared" si="1"/>
        <v>0</v>
      </c>
      <c r="M21" s="864">
        <f t="shared" si="1"/>
        <v>0</v>
      </c>
      <c r="N21" s="864">
        <f t="shared" si="1"/>
        <v>0</v>
      </c>
      <c r="O21" s="864">
        <f t="shared" si="1"/>
        <v>0</v>
      </c>
      <c r="P21" s="38"/>
      <c r="R21" s="736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37"/>
    </row>
    <row r="22" spans="1:31" ht="18" customHeight="1">
      <c r="B22" s="46"/>
      <c r="C22" s="865" t="s">
        <v>749</v>
      </c>
      <c r="D22" s="665"/>
      <c r="E22" s="866"/>
      <c r="F22" s="666"/>
      <c r="G22" s="666"/>
      <c r="H22" s="666"/>
      <c r="I22" s="666"/>
      <c r="J22" s="666"/>
      <c r="K22" s="666"/>
      <c r="L22" s="666"/>
      <c r="M22" s="666"/>
      <c r="N22" s="666"/>
      <c r="O22" s="666"/>
      <c r="P22" s="38"/>
      <c r="R22" s="736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  <c r="AC22" s="707"/>
      <c r="AD22" s="707"/>
      <c r="AE22" s="737"/>
    </row>
    <row r="23" spans="1:31" s="17" customFormat="1" ht="45.75" customHeight="1">
      <c r="A23" s="892"/>
      <c r="B23" s="824"/>
      <c r="C23" s="1273" t="s">
        <v>750</v>
      </c>
      <c r="D23" s="1274"/>
      <c r="E23" s="1275"/>
      <c r="F23" s="666"/>
      <c r="G23" s="666"/>
      <c r="H23" s="666"/>
      <c r="I23" s="666"/>
      <c r="J23" s="666"/>
      <c r="K23" s="666"/>
      <c r="L23" s="666"/>
      <c r="M23" s="666"/>
      <c r="N23" s="666"/>
      <c r="O23" s="666"/>
      <c r="P23" s="47"/>
      <c r="R23" s="736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  <c r="AC23" s="707"/>
      <c r="AD23" s="707"/>
      <c r="AE23" s="737"/>
    </row>
    <row r="24" spans="1:31" s="17" customFormat="1" ht="18" customHeight="1">
      <c r="A24" s="892"/>
      <c r="B24" s="824"/>
      <c r="C24" s="865" t="s">
        <v>751</v>
      </c>
      <c r="D24" s="665"/>
      <c r="E24" s="660"/>
      <c r="F24" s="666"/>
      <c r="G24" s="666"/>
      <c r="H24" s="666"/>
      <c r="I24" s="666"/>
      <c r="J24" s="666"/>
      <c r="K24" s="666"/>
      <c r="L24" s="666"/>
      <c r="M24" s="666"/>
      <c r="N24" s="666"/>
      <c r="O24" s="666"/>
      <c r="P24" s="47"/>
      <c r="R24" s="736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37"/>
    </row>
    <row r="25" spans="1:31" s="17" customFormat="1" ht="36" customHeight="1">
      <c r="A25" s="892"/>
      <c r="B25" s="824"/>
      <c r="C25" s="1273" t="s">
        <v>752</v>
      </c>
      <c r="D25" s="1274"/>
      <c r="E25" s="1275"/>
      <c r="F25" s="666"/>
      <c r="G25" s="666"/>
      <c r="H25" s="666"/>
      <c r="I25" s="666"/>
      <c r="J25" s="666"/>
      <c r="K25" s="666"/>
      <c r="L25" s="666"/>
      <c r="M25" s="666"/>
      <c r="N25" s="666"/>
      <c r="O25" s="666"/>
      <c r="P25" s="47"/>
      <c r="R25" s="736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37"/>
    </row>
    <row r="26" spans="1:31" s="17" customFormat="1" ht="18" customHeight="1">
      <c r="A26" s="892"/>
      <c r="B26" s="824"/>
      <c r="C26" s="865" t="s">
        <v>753</v>
      </c>
      <c r="D26" s="665"/>
      <c r="E26" s="660"/>
      <c r="F26" s="666"/>
      <c r="G26" s="666"/>
      <c r="H26" s="666"/>
      <c r="I26" s="666"/>
      <c r="J26" s="666"/>
      <c r="K26" s="666"/>
      <c r="L26" s="666"/>
      <c r="M26" s="666"/>
      <c r="N26" s="666"/>
      <c r="O26" s="666"/>
      <c r="P26" s="47"/>
      <c r="R26" s="736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37"/>
    </row>
    <row r="27" spans="1:31" s="17" customFormat="1" ht="18" customHeight="1">
      <c r="A27" s="892"/>
      <c r="B27" s="824"/>
      <c r="C27" s="867" t="s">
        <v>754</v>
      </c>
      <c r="D27" s="868"/>
      <c r="E27" s="660"/>
      <c r="F27" s="869"/>
      <c r="G27" s="869"/>
      <c r="H27" s="869"/>
      <c r="I27" s="869"/>
      <c r="J27" s="869"/>
      <c r="K27" s="869"/>
      <c r="L27" s="869"/>
      <c r="M27" s="869"/>
      <c r="N27" s="869"/>
      <c r="O27" s="869"/>
      <c r="P27" s="47"/>
      <c r="R27" s="736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37"/>
    </row>
    <row r="28" spans="1:31" s="17" customFormat="1" ht="18" customHeight="1">
      <c r="A28" s="892"/>
      <c r="B28" s="824"/>
      <c r="C28" s="867" t="s">
        <v>755</v>
      </c>
      <c r="D28" s="868"/>
      <c r="E28" s="660"/>
      <c r="F28" s="869"/>
      <c r="G28" s="869"/>
      <c r="H28" s="869"/>
      <c r="I28" s="869"/>
      <c r="J28" s="869"/>
      <c r="K28" s="869"/>
      <c r="L28" s="869"/>
      <c r="M28" s="869"/>
      <c r="N28" s="869"/>
      <c r="O28" s="869"/>
      <c r="P28" s="47"/>
      <c r="R28" s="736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37"/>
    </row>
    <row r="29" spans="1:31" s="17" customFormat="1" ht="18" customHeight="1">
      <c r="A29" s="892"/>
      <c r="B29" s="824"/>
      <c r="C29" s="867" t="s">
        <v>756</v>
      </c>
      <c r="D29" s="868"/>
      <c r="E29" s="660"/>
      <c r="F29" s="869"/>
      <c r="G29" s="869"/>
      <c r="H29" s="869"/>
      <c r="I29" s="869"/>
      <c r="J29" s="869"/>
      <c r="K29" s="869"/>
      <c r="L29" s="869"/>
      <c r="M29" s="869"/>
      <c r="N29" s="869"/>
      <c r="O29" s="869"/>
      <c r="P29" s="47"/>
      <c r="R29" s="736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37"/>
    </row>
    <row r="30" spans="1:31" s="17" customFormat="1" ht="36" customHeight="1">
      <c r="A30" s="892"/>
      <c r="B30" s="824"/>
      <c r="C30" s="1267" t="s">
        <v>757</v>
      </c>
      <c r="D30" s="1268"/>
      <c r="E30" s="1269"/>
      <c r="F30" s="869"/>
      <c r="G30" s="869"/>
      <c r="H30" s="869"/>
      <c r="I30" s="869"/>
      <c r="J30" s="869"/>
      <c r="K30" s="869"/>
      <c r="L30" s="869"/>
      <c r="M30" s="869"/>
      <c r="N30" s="869"/>
      <c r="O30" s="869"/>
      <c r="P30" s="47"/>
      <c r="R30" s="736"/>
      <c r="S30" s="707"/>
      <c r="T30" s="707"/>
      <c r="U30" s="707"/>
      <c r="V30" s="707"/>
      <c r="W30" s="707"/>
      <c r="X30" s="707"/>
      <c r="Y30" s="707"/>
      <c r="Z30" s="707"/>
      <c r="AA30" s="707"/>
      <c r="AB30" s="707"/>
      <c r="AC30" s="707"/>
      <c r="AD30" s="707"/>
      <c r="AE30" s="737"/>
    </row>
    <row r="31" spans="1:31" s="17" customFormat="1" ht="36" customHeight="1">
      <c r="A31" s="892"/>
      <c r="B31" s="824"/>
      <c r="C31" s="1267" t="s">
        <v>758</v>
      </c>
      <c r="D31" s="1268"/>
      <c r="E31" s="1269"/>
      <c r="F31" s="869"/>
      <c r="G31" s="869"/>
      <c r="H31" s="869"/>
      <c r="I31" s="869"/>
      <c r="J31" s="869"/>
      <c r="K31" s="869"/>
      <c r="L31" s="869"/>
      <c r="M31" s="869"/>
      <c r="N31" s="869"/>
      <c r="O31" s="869"/>
      <c r="P31" s="47"/>
      <c r="R31" s="736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37"/>
    </row>
    <row r="32" spans="1:31" s="17" customFormat="1" ht="18" customHeight="1">
      <c r="A32" s="892"/>
      <c r="B32" s="824"/>
      <c r="C32" s="867" t="s">
        <v>759</v>
      </c>
      <c r="D32" s="868"/>
      <c r="E32" s="660"/>
      <c r="F32" s="869"/>
      <c r="G32" s="869"/>
      <c r="H32" s="869"/>
      <c r="I32" s="869"/>
      <c r="J32" s="869"/>
      <c r="K32" s="869"/>
      <c r="L32" s="869"/>
      <c r="M32" s="869"/>
      <c r="N32" s="869"/>
      <c r="O32" s="869"/>
      <c r="P32" s="47"/>
      <c r="R32" s="736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37"/>
    </row>
    <row r="33" spans="1:31" s="17" customFormat="1" ht="18" customHeight="1" thickBot="1">
      <c r="A33" s="892"/>
      <c r="B33" s="824"/>
      <c r="C33" s="229" t="s">
        <v>760</v>
      </c>
      <c r="D33" s="230"/>
      <c r="E33" s="102"/>
      <c r="F33" s="69">
        <f t="shared" ref="F33:O33" si="2">F16+SUM(F19:F21)+SUM(F27:F32)</f>
        <v>0</v>
      </c>
      <c r="G33" s="69">
        <f t="shared" si="2"/>
        <v>0</v>
      </c>
      <c r="H33" s="69">
        <f t="shared" si="2"/>
        <v>0</v>
      </c>
      <c r="I33" s="69">
        <f t="shared" si="2"/>
        <v>0</v>
      </c>
      <c r="J33" s="69">
        <f t="shared" si="2"/>
        <v>0</v>
      </c>
      <c r="K33" s="69">
        <f t="shared" si="2"/>
        <v>0</v>
      </c>
      <c r="L33" s="69">
        <f t="shared" si="2"/>
        <v>0</v>
      </c>
      <c r="M33" s="69">
        <f t="shared" si="2"/>
        <v>0</v>
      </c>
      <c r="N33" s="69">
        <f t="shared" si="2"/>
        <v>0</v>
      </c>
      <c r="O33" s="69">
        <f t="shared" si="2"/>
        <v>0</v>
      </c>
      <c r="P33" s="47"/>
      <c r="R33" s="736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37"/>
    </row>
    <row r="34" spans="1:31" s="17" customFormat="1" ht="18" customHeight="1">
      <c r="A34" s="892"/>
      <c r="B34" s="824"/>
      <c r="C34" s="867" t="s">
        <v>761</v>
      </c>
      <c r="D34" s="665"/>
      <c r="E34" s="660"/>
      <c r="F34" s="666"/>
      <c r="G34" s="666"/>
      <c r="H34" s="666"/>
      <c r="I34" s="666"/>
      <c r="J34" s="666"/>
      <c r="K34" s="666"/>
      <c r="L34" s="666"/>
      <c r="M34" s="666"/>
      <c r="N34" s="666"/>
      <c r="O34" s="666"/>
      <c r="P34" s="47"/>
      <c r="R34" s="736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37"/>
    </row>
    <row r="35" spans="1:31" s="17" customFormat="1" ht="36" customHeight="1">
      <c r="A35" s="892"/>
      <c r="B35" s="824"/>
      <c r="C35" s="1270" t="s">
        <v>762</v>
      </c>
      <c r="D35" s="1271"/>
      <c r="E35" s="1272"/>
      <c r="F35" s="666"/>
      <c r="G35" s="666"/>
      <c r="H35" s="666"/>
      <c r="I35" s="666"/>
      <c r="J35" s="666"/>
      <c r="K35" s="666"/>
      <c r="L35" s="666"/>
      <c r="M35" s="666"/>
      <c r="N35" s="666"/>
      <c r="O35" s="666"/>
      <c r="P35" s="47"/>
      <c r="R35" s="736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37"/>
    </row>
    <row r="36" spans="1:31" s="17" customFormat="1" ht="36" customHeight="1">
      <c r="A36" s="892"/>
      <c r="B36" s="824"/>
      <c r="C36" s="1270" t="s">
        <v>763</v>
      </c>
      <c r="D36" s="1271"/>
      <c r="E36" s="1272"/>
      <c r="F36" s="666"/>
      <c r="G36" s="666"/>
      <c r="H36" s="666"/>
      <c r="I36" s="666"/>
      <c r="J36" s="666"/>
      <c r="K36" s="666"/>
      <c r="L36" s="666"/>
      <c r="M36" s="666"/>
      <c r="N36" s="666"/>
      <c r="O36" s="666"/>
      <c r="P36" s="47"/>
      <c r="R36" s="736"/>
      <c r="S36" s="707"/>
      <c r="T36" s="707"/>
      <c r="U36" s="707"/>
      <c r="V36" s="707"/>
      <c r="W36" s="707"/>
      <c r="X36" s="707"/>
      <c r="Y36" s="707"/>
      <c r="Z36" s="707"/>
      <c r="AA36" s="707"/>
      <c r="AB36" s="707"/>
      <c r="AC36" s="707"/>
      <c r="AD36" s="707"/>
      <c r="AE36" s="737"/>
    </row>
    <row r="37" spans="1:31" s="17" customFormat="1" ht="35.25" customHeight="1">
      <c r="A37" s="892"/>
      <c r="B37" s="824"/>
      <c r="C37" s="1270" t="s">
        <v>764</v>
      </c>
      <c r="D37" s="1271"/>
      <c r="E37" s="1272"/>
      <c r="F37" s="666"/>
      <c r="G37" s="666"/>
      <c r="H37" s="666"/>
      <c r="I37" s="666"/>
      <c r="J37" s="666"/>
      <c r="K37" s="666"/>
      <c r="L37" s="666"/>
      <c r="M37" s="666"/>
      <c r="N37" s="666"/>
      <c r="O37" s="666"/>
      <c r="P37" s="47"/>
      <c r="R37" s="736"/>
      <c r="S37" s="707"/>
      <c r="T37" s="707"/>
      <c r="U37" s="707"/>
      <c r="V37" s="707"/>
      <c r="W37" s="707"/>
      <c r="X37" s="707"/>
      <c r="Y37" s="707"/>
      <c r="Z37" s="707"/>
      <c r="AA37" s="707"/>
      <c r="AB37" s="707"/>
      <c r="AC37" s="707"/>
      <c r="AD37" s="707"/>
      <c r="AE37" s="737"/>
    </row>
    <row r="38" spans="1:31" s="17" customFormat="1" ht="18" customHeight="1" thickBot="1">
      <c r="A38" s="892"/>
      <c r="B38" s="824"/>
      <c r="C38" s="229" t="s">
        <v>765</v>
      </c>
      <c r="D38" s="230"/>
      <c r="E38" s="102"/>
      <c r="F38" s="69">
        <f t="shared" ref="F38:O38" si="3">SUM(F34:F37)</f>
        <v>0</v>
      </c>
      <c r="G38" s="69">
        <f t="shared" si="3"/>
        <v>0</v>
      </c>
      <c r="H38" s="69">
        <f t="shared" si="3"/>
        <v>0</v>
      </c>
      <c r="I38" s="69">
        <f t="shared" si="3"/>
        <v>0</v>
      </c>
      <c r="J38" s="69">
        <f t="shared" si="3"/>
        <v>0</v>
      </c>
      <c r="K38" s="69">
        <f t="shared" si="3"/>
        <v>0</v>
      </c>
      <c r="L38" s="69">
        <f t="shared" si="3"/>
        <v>0</v>
      </c>
      <c r="M38" s="69">
        <f t="shared" si="3"/>
        <v>0</v>
      </c>
      <c r="N38" s="69">
        <f t="shared" si="3"/>
        <v>0</v>
      </c>
      <c r="O38" s="69">
        <f t="shared" si="3"/>
        <v>0</v>
      </c>
      <c r="P38" s="47"/>
      <c r="R38" s="736"/>
      <c r="S38" s="707"/>
      <c r="T38" s="707"/>
      <c r="U38" s="707"/>
      <c r="V38" s="707"/>
      <c r="W38" s="707"/>
      <c r="X38" s="707"/>
      <c r="Y38" s="707"/>
      <c r="Z38" s="707"/>
      <c r="AA38" s="707"/>
      <c r="AB38" s="707"/>
      <c r="AC38" s="707"/>
      <c r="AD38" s="707"/>
      <c r="AE38" s="737"/>
    </row>
    <row r="39" spans="1:31" s="17" customFormat="1" ht="18" customHeight="1" thickBot="1">
      <c r="A39" s="892"/>
      <c r="B39" s="824"/>
      <c r="C39" s="1282" t="s">
        <v>766</v>
      </c>
      <c r="D39" s="1283"/>
      <c r="E39" s="1284"/>
      <c r="F39" s="69">
        <f t="shared" ref="F39:O39" si="4">F40+F41</f>
        <v>0</v>
      </c>
      <c r="G39" s="69">
        <f t="shared" si="4"/>
        <v>0</v>
      </c>
      <c r="H39" s="69">
        <f t="shared" si="4"/>
        <v>0</v>
      </c>
      <c r="I39" s="69">
        <f t="shared" si="4"/>
        <v>0</v>
      </c>
      <c r="J39" s="69">
        <f t="shared" si="4"/>
        <v>0</v>
      </c>
      <c r="K39" s="69">
        <f t="shared" si="4"/>
        <v>0</v>
      </c>
      <c r="L39" s="69">
        <f t="shared" si="4"/>
        <v>0</v>
      </c>
      <c r="M39" s="69">
        <f t="shared" si="4"/>
        <v>0</v>
      </c>
      <c r="N39" s="69">
        <f t="shared" si="4"/>
        <v>0</v>
      </c>
      <c r="O39" s="69">
        <f t="shared" si="4"/>
        <v>0</v>
      </c>
      <c r="P39" s="47"/>
      <c r="R39" s="736"/>
      <c r="S39" s="707"/>
      <c r="T39" s="707"/>
      <c r="U39" s="707"/>
      <c r="V39" s="707"/>
      <c r="W39" s="707"/>
      <c r="X39" s="707"/>
      <c r="Y39" s="707"/>
      <c r="Z39" s="707"/>
      <c r="AA39" s="707"/>
      <c r="AB39" s="707"/>
      <c r="AC39" s="707"/>
      <c r="AD39" s="707"/>
      <c r="AE39" s="737"/>
    </row>
    <row r="40" spans="1:31" s="17" customFormat="1" ht="18" customHeight="1">
      <c r="A40" s="892"/>
      <c r="B40" s="824"/>
      <c r="C40" s="865" t="s">
        <v>767</v>
      </c>
      <c r="D40" s="665"/>
      <c r="E40" s="660"/>
      <c r="F40" s="666"/>
      <c r="G40" s="666"/>
      <c r="H40" s="666"/>
      <c r="I40" s="666"/>
      <c r="J40" s="666"/>
      <c r="K40" s="666"/>
      <c r="L40" s="666"/>
      <c r="M40" s="666"/>
      <c r="N40" s="666"/>
      <c r="O40" s="666"/>
      <c r="P40" s="47"/>
      <c r="R40" s="736"/>
      <c r="S40" s="707"/>
      <c r="T40" s="707"/>
      <c r="U40" s="707"/>
      <c r="V40" s="707"/>
      <c r="W40" s="707"/>
      <c r="X40" s="707"/>
      <c r="Y40" s="707"/>
      <c r="Z40" s="707"/>
      <c r="AA40" s="707"/>
      <c r="AB40" s="707"/>
      <c r="AC40" s="707"/>
      <c r="AD40" s="707"/>
      <c r="AE40" s="737"/>
    </row>
    <row r="41" spans="1:31" s="17" customFormat="1" ht="18" customHeight="1">
      <c r="A41" s="892"/>
      <c r="B41" s="824"/>
      <c r="C41" s="873" t="s">
        <v>768</v>
      </c>
      <c r="D41" s="670"/>
      <c r="E41" s="72"/>
      <c r="F41" s="666"/>
      <c r="G41" s="666"/>
      <c r="H41" s="666"/>
      <c r="I41" s="666"/>
      <c r="J41" s="666"/>
      <c r="K41" s="666"/>
      <c r="L41" s="666"/>
      <c r="M41" s="666"/>
      <c r="N41" s="666"/>
      <c r="O41" s="666"/>
      <c r="P41" s="47"/>
      <c r="R41" s="736"/>
      <c r="S41" s="707"/>
      <c r="T41" s="707"/>
      <c r="U41" s="707"/>
      <c r="V41" s="707"/>
      <c r="W41" s="707"/>
      <c r="X41" s="707"/>
      <c r="Y41" s="707"/>
      <c r="Z41" s="707"/>
      <c r="AA41" s="707"/>
      <c r="AB41" s="707"/>
      <c r="AC41" s="707"/>
      <c r="AD41" s="707"/>
      <c r="AE41" s="737"/>
    </row>
    <row r="42" spans="1:31" s="17" customFormat="1" ht="18" customHeight="1" thickBot="1">
      <c r="A42" s="892"/>
      <c r="B42" s="824"/>
      <c r="C42" s="1285" t="s">
        <v>769</v>
      </c>
      <c r="D42" s="1286"/>
      <c r="E42" s="1287"/>
      <c r="F42" s="69">
        <f t="shared" ref="F42:O42" si="5">SUM(F43:F46)</f>
        <v>0</v>
      </c>
      <c r="G42" s="69">
        <f t="shared" si="5"/>
        <v>0</v>
      </c>
      <c r="H42" s="69">
        <f t="shared" si="5"/>
        <v>0</v>
      </c>
      <c r="I42" s="69">
        <f t="shared" si="5"/>
        <v>0</v>
      </c>
      <c r="J42" s="69">
        <f t="shared" si="5"/>
        <v>0</v>
      </c>
      <c r="K42" s="69">
        <f t="shared" si="5"/>
        <v>0</v>
      </c>
      <c r="L42" s="69">
        <f t="shared" si="5"/>
        <v>0</v>
      </c>
      <c r="M42" s="69">
        <f t="shared" si="5"/>
        <v>0</v>
      </c>
      <c r="N42" s="69">
        <f t="shared" si="5"/>
        <v>0</v>
      </c>
      <c r="O42" s="69">
        <f t="shared" si="5"/>
        <v>0</v>
      </c>
      <c r="P42" s="47"/>
      <c r="R42" s="736"/>
      <c r="S42" s="707"/>
      <c r="T42" s="707"/>
      <c r="U42" s="707"/>
      <c r="V42" s="707"/>
      <c r="W42" s="707"/>
      <c r="X42" s="707"/>
      <c r="Y42" s="707"/>
      <c r="Z42" s="707"/>
      <c r="AA42" s="707"/>
      <c r="AB42" s="707"/>
      <c r="AC42" s="707"/>
      <c r="AD42" s="707"/>
      <c r="AE42" s="737"/>
    </row>
    <row r="43" spans="1:31" s="17" customFormat="1" ht="18" customHeight="1">
      <c r="A43" s="892"/>
      <c r="B43" s="824"/>
      <c r="C43" s="865" t="s">
        <v>770</v>
      </c>
      <c r="D43" s="874"/>
      <c r="E43" s="875"/>
      <c r="F43" s="666"/>
      <c r="G43" s="666"/>
      <c r="H43" s="666"/>
      <c r="I43" s="666"/>
      <c r="J43" s="666"/>
      <c r="K43" s="666"/>
      <c r="L43" s="666"/>
      <c r="M43" s="666"/>
      <c r="N43" s="666"/>
      <c r="O43" s="666"/>
      <c r="P43" s="47"/>
      <c r="R43" s="736"/>
      <c r="S43" s="707"/>
      <c r="T43" s="707"/>
      <c r="U43" s="707"/>
      <c r="V43" s="707"/>
      <c r="W43" s="707"/>
      <c r="X43" s="707"/>
      <c r="Y43" s="707"/>
      <c r="Z43" s="707"/>
      <c r="AA43" s="707"/>
      <c r="AB43" s="707"/>
      <c r="AC43" s="707"/>
      <c r="AD43" s="707"/>
      <c r="AE43" s="737"/>
    </row>
    <row r="44" spans="1:31" s="17" customFormat="1" ht="18" customHeight="1">
      <c r="A44" s="892"/>
      <c r="B44" s="824"/>
      <c r="C44" s="865" t="s">
        <v>771</v>
      </c>
      <c r="D44" s="874"/>
      <c r="E44" s="875"/>
      <c r="F44" s="666"/>
      <c r="G44" s="666"/>
      <c r="H44" s="666"/>
      <c r="I44" s="666"/>
      <c r="J44" s="666"/>
      <c r="K44" s="666"/>
      <c r="L44" s="666"/>
      <c r="M44" s="666"/>
      <c r="N44" s="666"/>
      <c r="O44" s="666"/>
      <c r="P44" s="47"/>
      <c r="R44" s="736"/>
      <c r="S44" s="707"/>
      <c r="T44" s="707"/>
      <c r="U44" s="707"/>
      <c r="V44" s="707"/>
      <c r="W44" s="707"/>
      <c r="X44" s="707"/>
      <c r="Y44" s="707"/>
      <c r="Z44" s="707"/>
      <c r="AA44" s="707"/>
      <c r="AB44" s="707"/>
      <c r="AC44" s="707"/>
      <c r="AD44" s="707"/>
      <c r="AE44" s="737"/>
    </row>
    <row r="45" spans="1:31" s="17" customFormat="1" ht="18" customHeight="1">
      <c r="A45" s="892"/>
      <c r="B45" s="824"/>
      <c r="C45" s="1273" t="s">
        <v>772</v>
      </c>
      <c r="D45" s="1274"/>
      <c r="E45" s="1275"/>
      <c r="F45" s="666"/>
      <c r="G45" s="666"/>
      <c r="H45" s="666"/>
      <c r="I45" s="666"/>
      <c r="J45" s="666"/>
      <c r="K45" s="666"/>
      <c r="L45" s="666"/>
      <c r="M45" s="666"/>
      <c r="N45" s="666"/>
      <c r="O45" s="666"/>
      <c r="P45" s="47"/>
      <c r="R45" s="736"/>
      <c r="S45" s="707"/>
      <c r="T45" s="707"/>
      <c r="U45" s="707"/>
      <c r="V45" s="707"/>
      <c r="W45" s="707"/>
      <c r="X45" s="707"/>
      <c r="Y45" s="707"/>
      <c r="Z45" s="707"/>
      <c r="AA45" s="707"/>
      <c r="AB45" s="707"/>
      <c r="AC45" s="707"/>
      <c r="AD45" s="707"/>
      <c r="AE45" s="737"/>
    </row>
    <row r="46" spans="1:31" s="17" customFormat="1" ht="18" customHeight="1">
      <c r="A46" s="892"/>
      <c r="B46" s="824"/>
      <c r="C46" s="865" t="s">
        <v>773</v>
      </c>
      <c r="D46" s="874"/>
      <c r="E46" s="875"/>
      <c r="F46" s="666"/>
      <c r="G46" s="666"/>
      <c r="H46" s="666"/>
      <c r="I46" s="666"/>
      <c r="J46" s="666"/>
      <c r="K46" s="666"/>
      <c r="L46" s="666"/>
      <c r="M46" s="666"/>
      <c r="N46" s="666"/>
      <c r="O46" s="666"/>
      <c r="P46" s="47"/>
      <c r="R46" s="736"/>
      <c r="S46" s="707"/>
      <c r="T46" s="707"/>
      <c r="U46" s="707"/>
      <c r="V46" s="707"/>
      <c r="W46" s="707"/>
      <c r="X46" s="707"/>
      <c r="Y46" s="707"/>
      <c r="Z46" s="707"/>
      <c r="AA46" s="707"/>
      <c r="AB46" s="707"/>
      <c r="AC46" s="707"/>
      <c r="AD46" s="707"/>
      <c r="AE46" s="737"/>
    </row>
    <row r="47" spans="1:31" s="17" customFormat="1" ht="18" customHeight="1" thickBot="1">
      <c r="A47" s="892"/>
      <c r="B47" s="824"/>
      <c r="C47" s="229" t="s">
        <v>774</v>
      </c>
      <c r="D47" s="230"/>
      <c r="E47" s="102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47"/>
      <c r="R47" s="736"/>
      <c r="S47" s="707"/>
      <c r="T47" s="707"/>
      <c r="U47" s="707"/>
      <c r="V47" s="707"/>
      <c r="W47" s="707"/>
      <c r="X47" s="707"/>
      <c r="Y47" s="707"/>
      <c r="Z47" s="707"/>
      <c r="AA47" s="707"/>
      <c r="AB47" s="707"/>
      <c r="AC47" s="707"/>
      <c r="AD47" s="707"/>
      <c r="AE47" s="737"/>
    </row>
    <row r="48" spans="1:31" s="17" customFormat="1" ht="36" customHeight="1" thickBot="1">
      <c r="A48" s="892"/>
      <c r="B48" s="824"/>
      <c r="C48" s="1288" t="s">
        <v>775</v>
      </c>
      <c r="D48" s="1289"/>
      <c r="E48" s="1290"/>
      <c r="F48" s="876">
        <f t="shared" ref="F48:O48" si="6">F47+F42+F39+F38+F33</f>
        <v>0</v>
      </c>
      <c r="G48" s="876">
        <f t="shared" si="6"/>
        <v>0</v>
      </c>
      <c r="H48" s="876">
        <f t="shared" si="6"/>
        <v>0</v>
      </c>
      <c r="I48" s="876">
        <f t="shared" si="6"/>
        <v>0</v>
      </c>
      <c r="J48" s="876">
        <f t="shared" si="6"/>
        <v>0</v>
      </c>
      <c r="K48" s="876">
        <f t="shared" si="6"/>
        <v>0</v>
      </c>
      <c r="L48" s="876">
        <f t="shared" si="6"/>
        <v>0</v>
      </c>
      <c r="M48" s="876">
        <f t="shared" si="6"/>
        <v>0</v>
      </c>
      <c r="N48" s="876">
        <f t="shared" si="6"/>
        <v>0</v>
      </c>
      <c r="O48" s="876">
        <f t="shared" si="6"/>
        <v>0</v>
      </c>
      <c r="P48" s="47"/>
      <c r="R48" s="736"/>
      <c r="S48" s="707"/>
      <c r="T48" s="707"/>
      <c r="U48" s="707"/>
      <c r="V48" s="707"/>
      <c r="W48" s="707"/>
      <c r="X48" s="707"/>
      <c r="Y48" s="707"/>
      <c r="Z48" s="707"/>
      <c r="AA48" s="707"/>
      <c r="AB48" s="707"/>
      <c r="AC48" s="707"/>
      <c r="AD48" s="707"/>
      <c r="AE48" s="737"/>
    </row>
    <row r="49" spans="1:31" s="17" customFormat="1" ht="18" customHeight="1">
      <c r="A49" s="892"/>
      <c r="B49" s="824"/>
      <c r="C49" s="892"/>
      <c r="D49" s="892"/>
      <c r="E49" s="892"/>
      <c r="F49" s="892"/>
      <c r="G49" s="892"/>
      <c r="H49" s="892"/>
      <c r="I49" s="892"/>
      <c r="J49" s="892"/>
      <c r="K49" s="892"/>
      <c r="L49" s="892"/>
      <c r="M49" s="892"/>
      <c r="N49" s="892"/>
      <c r="O49" s="892"/>
      <c r="P49" s="47"/>
      <c r="R49" s="736"/>
      <c r="S49" s="707"/>
      <c r="T49" s="707"/>
      <c r="U49" s="707"/>
      <c r="V49" s="707"/>
      <c r="W49" s="707"/>
      <c r="X49" s="707"/>
      <c r="Y49" s="707"/>
      <c r="Z49" s="707"/>
      <c r="AA49" s="707"/>
      <c r="AB49" s="707"/>
      <c r="AC49" s="707"/>
      <c r="AD49" s="707"/>
      <c r="AE49" s="737"/>
    </row>
    <row r="50" spans="1:31" s="17" customFormat="1" ht="18" customHeight="1">
      <c r="A50" s="892"/>
      <c r="B50" s="824"/>
      <c r="C50" s="98"/>
      <c r="D50" s="99"/>
      <c r="E50" s="100"/>
      <c r="F50" s="1295" t="s">
        <v>784</v>
      </c>
      <c r="G50" s="1296"/>
      <c r="H50" s="1296"/>
      <c r="I50" s="1296"/>
      <c r="J50" s="1296"/>
      <c r="K50" s="1296"/>
      <c r="L50" s="1296"/>
      <c r="M50" s="888">
        <f>ejercicio</f>
        <v>2025</v>
      </c>
      <c r="N50" s="888"/>
      <c r="O50" s="889"/>
      <c r="P50" s="47"/>
      <c r="R50" s="736"/>
      <c r="S50" s="707"/>
      <c r="T50" s="707"/>
      <c r="U50" s="707"/>
      <c r="V50" s="707"/>
      <c r="W50" s="707"/>
      <c r="X50" s="707"/>
      <c r="Y50" s="707"/>
      <c r="Z50" s="707"/>
      <c r="AA50" s="707"/>
      <c r="AB50" s="707"/>
      <c r="AC50" s="707"/>
      <c r="AD50" s="707"/>
      <c r="AE50" s="737"/>
    </row>
    <row r="51" spans="1:31" s="17" customFormat="1" ht="18" customHeight="1">
      <c r="A51" s="892"/>
      <c r="B51" s="824"/>
      <c r="C51" s="1279" t="s">
        <v>742</v>
      </c>
      <c r="D51" s="1280"/>
      <c r="E51" s="1281"/>
      <c r="F51" s="106">
        <f>ejercicio+1</f>
        <v>2026</v>
      </c>
      <c r="G51" s="107">
        <f>ejercicio+2</f>
        <v>2027</v>
      </c>
      <c r="H51" s="107">
        <f>ejercicio+3</f>
        <v>2028</v>
      </c>
      <c r="I51" s="107">
        <f>ejercicio+4</f>
        <v>2029</v>
      </c>
      <c r="J51" s="107">
        <f>ejercicio+5</f>
        <v>2030</v>
      </c>
      <c r="K51" s="107">
        <f>ejercicio+6</f>
        <v>2031</v>
      </c>
      <c r="L51" s="107">
        <f>ejercicio+7</f>
        <v>2032</v>
      </c>
      <c r="M51" s="107">
        <f>ejercicio+8</f>
        <v>2033</v>
      </c>
      <c r="N51" s="107">
        <f>ejercicio+9</f>
        <v>2034</v>
      </c>
      <c r="O51" s="108">
        <f>ejercicio+10</f>
        <v>2035</v>
      </c>
      <c r="P51" s="47"/>
      <c r="R51" s="736"/>
      <c r="S51" s="707"/>
      <c r="T51" s="707"/>
      <c r="U51" s="707"/>
      <c r="V51" s="707"/>
      <c r="W51" s="707"/>
      <c r="X51" s="707"/>
      <c r="Y51" s="707"/>
      <c r="Z51" s="707"/>
      <c r="AA51" s="707"/>
      <c r="AB51" s="707"/>
      <c r="AC51" s="707"/>
      <c r="AD51" s="707"/>
      <c r="AE51" s="737"/>
    </row>
    <row r="52" spans="1:31" s="17" customFormat="1" ht="18" customHeight="1">
      <c r="A52" s="892"/>
      <c r="B52" s="824"/>
      <c r="C52" s="893"/>
      <c r="D52" s="894"/>
      <c r="E52" s="895"/>
      <c r="F52" s="896"/>
      <c r="G52" s="896"/>
      <c r="H52" s="896"/>
      <c r="I52" s="896"/>
      <c r="J52" s="896"/>
      <c r="K52" s="896"/>
      <c r="L52" s="896"/>
      <c r="M52" s="896"/>
      <c r="N52" s="896"/>
      <c r="O52" s="896"/>
      <c r="P52" s="47"/>
      <c r="R52" s="736"/>
      <c r="S52" s="707"/>
      <c r="T52" s="707"/>
      <c r="U52" s="707"/>
      <c r="V52" s="707"/>
      <c r="W52" s="707"/>
      <c r="X52" s="707"/>
      <c r="Y52" s="707"/>
      <c r="Z52" s="707"/>
      <c r="AA52" s="707"/>
      <c r="AB52" s="707"/>
      <c r="AC52" s="707"/>
      <c r="AD52" s="707"/>
      <c r="AE52" s="737"/>
    </row>
    <row r="53" spans="1:31" s="17" customFormat="1" ht="18" customHeight="1">
      <c r="A53" s="892"/>
      <c r="B53" s="824"/>
      <c r="C53" s="1297" t="s">
        <v>776</v>
      </c>
      <c r="D53" s="1298"/>
      <c r="E53" s="1299"/>
      <c r="F53" s="897"/>
      <c r="G53" s="897"/>
      <c r="H53" s="897"/>
      <c r="I53" s="897"/>
      <c r="J53" s="897"/>
      <c r="K53" s="897"/>
      <c r="L53" s="897"/>
      <c r="M53" s="897"/>
      <c r="N53" s="897"/>
      <c r="O53" s="897"/>
      <c r="P53" s="47"/>
      <c r="R53" s="736"/>
      <c r="S53" s="707"/>
      <c r="T53" s="707"/>
      <c r="U53" s="707"/>
      <c r="V53" s="707"/>
      <c r="W53" s="707"/>
      <c r="X53" s="707"/>
      <c r="Y53" s="707"/>
      <c r="Z53" s="707"/>
      <c r="AA53" s="707"/>
      <c r="AB53" s="707"/>
      <c r="AC53" s="707"/>
      <c r="AD53" s="707"/>
      <c r="AE53" s="737"/>
    </row>
    <row r="54" spans="1:31" s="17" customFormat="1" ht="18" customHeight="1">
      <c r="A54" s="892"/>
      <c r="B54" s="824"/>
      <c r="C54" s="1267" t="s">
        <v>777</v>
      </c>
      <c r="D54" s="1268"/>
      <c r="E54" s="1269"/>
      <c r="F54" s="884">
        <f>SUM(F55:F58)</f>
        <v>0</v>
      </c>
      <c r="G54" s="884">
        <f t="shared" ref="G54:O54" si="7">SUM(G55:G58)</f>
        <v>0</v>
      </c>
      <c r="H54" s="884">
        <f t="shared" si="7"/>
        <v>0</v>
      </c>
      <c r="I54" s="884">
        <f t="shared" si="7"/>
        <v>0</v>
      </c>
      <c r="J54" s="884">
        <f t="shared" si="7"/>
        <v>0</v>
      </c>
      <c r="K54" s="884">
        <f t="shared" si="7"/>
        <v>0</v>
      </c>
      <c r="L54" s="884">
        <f t="shared" si="7"/>
        <v>0</v>
      </c>
      <c r="M54" s="884">
        <f t="shared" si="7"/>
        <v>0</v>
      </c>
      <c r="N54" s="884">
        <f t="shared" si="7"/>
        <v>0</v>
      </c>
      <c r="O54" s="884">
        <f t="shared" si="7"/>
        <v>0</v>
      </c>
      <c r="P54" s="47"/>
      <c r="R54" s="736"/>
      <c r="S54" s="707"/>
      <c r="T54" s="707"/>
      <c r="U54" s="707"/>
      <c r="V54" s="707"/>
      <c r="W54" s="707"/>
      <c r="X54" s="707"/>
      <c r="Y54" s="707"/>
      <c r="Z54" s="707"/>
      <c r="AA54" s="707"/>
      <c r="AB54" s="707"/>
      <c r="AC54" s="707"/>
      <c r="AD54" s="707"/>
      <c r="AE54" s="737"/>
    </row>
    <row r="55" spans="1:31" s="17" customFormat="1" ht="36" customHeight="1">
      <c r="A55" s="892"/>
      <c r="B55" s="824"/>
      <c r="C55" s="1273" t="s">
        <v>778</v>
      </c>
      <c r="D55" s="1274"/>
      <c r="E55" s="1275"/>
      <c r="F55" s="666"/>
      <c r="G55" s="666"/>
      <c r="H55" s="666"/>
      <c r="I55" s="666"/>
      <c r="J55" s="666"/>
      <c r="K55" s="666"/>
      <c r="L55" s="666"/>
      <c r="M55" s="666"/>
      <c r="N55" s="666"/>
      <c r="O55" s="666"/>
      <c r="P55" s="47"/>
      <c r="R55" s="736"/>
      <c r="S55" s="707"/>
      <c r="T55" s="707"/>
      <c r="U55" s="707"/>
      <c r="V55" s="707"/>
      <c r="W55" s="707"/>
      <c r="X55" s="707"/>
      <c r="Y55" s="707"/>
      <c r="Z55" s="707"/>
      <c r="AA55" s="707"/>
      <c r="AB55" s="707"/>
      <c r="AC55" s="707"/>
      <c r="AD55" s="707"/>
      <c r="AE55" s="737"/>
    </row>
    <row r="56" spans="1:31" s="17" customFormat="1" ht="36" customHeight="1">
      <c r="A56" s="892"/>
      <c r="B56" s="824"/>
      <c r="C56" s="1273" t="s">
        <v>779</v>
      </c>
      <c r="D56" s="1274"/>
      <c r="E56" s="1275"/>
      <c r="F56" s="666"/>
      <c r="G56" s="666"/>
      <c r="H56" s="666"/>
      <c r="I56" s="666"/>
      <c r="J56" s="666"/>
      <c r="K56" s="666"/>
      <c r="L56" s="666"/>
      <c r="M56" s="666"/>
      <c r="N56" s="666"/>
      <c r="O56" s="666"/>
      <c r="P56" s="47"/>
      <c r="R56" s="736"/>
      <c r="S56" s="707"/>
      <c r="T56" s="707"/>
      <c r="U56" s="707"/>
      <c r="V56" s="707"/>
      <c r="W56" s="707"/>
      <c r="X56" s="707"/>
      <c r="Y56" s="707"/>
      <c r="Z56" s="707"/>
      <c r="AA56" s="707"/>
      <c r="AB56" s="707"/>
      <c r="AC56" s="707"/>
      <c r="AD56" s="707"/>
      <c r="AE56" s="737"/>
    </row>
    <row r="57" spans="1:31" s="17" customFormat="1" ht="36" customHeight="1">
      <c r="A57" s="892"/>
      <c r="B57" s="824"/>
      <c r="C57" s="1273" t="s">
        <v>780</v>
      </c>
      <c r="D57" s="1274"/>
      <c r="E57" s="1275"/>
      <c r="F57" s="666"/>
      <c r="G57" s="666"/>
      <c r="H57" s="666"/>
      <c r="I57" s="666"/>
      <c r="J57" s="666"/>
      <c r="K57" s="666"/>
      <c r="L57" s="666"/>
      <c r="M57" s="666"/>
      <c r="N57" s="666"/>
      <c r="O57" s="666"/>
      <c r="P57" s="47"/>
      <c r="R57" s="736"/>
      <c r="S57" s="707"/>
      <c r="T57" s="707"/>
      <c r="U57" s="707"/>
      <c r="V57" s="707"/>
      <c r="W57" s="707"/>
      <c r="X57" s="707"/>
      <c r="Y57" s="707"/>
      <c r="Z57" s="707"/>
      <c r="AA57" s="707"/>
      <c r="AB57" s="707"/>
      <c r="AC57" s="707"/>
      <c r="AD57" s="707"/>
      <c r="AE57" s="737"/>
    </row>
    <row r="58" spans="1:31" s="17" customFormat="1" ht="18" customHeight="1" thickBot="1">
      <c r="A58" s="892"/>
      <c r="B58" s="824"/>
      <c r="C58" s="1291" t="s">
        <v>781</v>
      </c>
      <c r="D58" s="1292"/>
      <c r="E58" s="1293"/>
      <c r="F58" s="898"/>
      <c r="G58" s="898"/>
      <c r="H58" s="898"/>
      <c r="I58" s="898"/>
      <c r="J58" s="898"/>
      <c r="K58" s="898"/>
      <c r="L58" s="898"/>
      <c r="M58" s="898"/>
      <c r="N58" s="898"/>
      <c r="O58" s="898"/>
      <c r="P58" s="47"/>
      <c r="R58" s="736"/>
      <c r="S58" s="707"/>
      <c r="T58" s="707"/>
      <c r="U58" s="707"/>
      <c r="V58" s="707"/>
      <c r="W58" s="707"/>
      <c r="X58" s="707"/>
      <c r="Y58" s="707"/>
      <c r="Z58" s="707"/>
      <c r="AA58" s="707"/>
      <c r="AB58" s="707"/>
      <c r="AC58" s="707"/>
      <c r="AD58" s="707"/>
      <c r="AE58" s="737"/>
    </row>
    <row r="59" spans="1:31" s="17" customFormat="1" ht="18" customHeight="1">
      <c r="A59" s="892"/>
      <c r="B59" s="824"/>
      <c r="C59" s="892"/>
      <c r="D59" s="892"/>
      <c r="E59" s="892"/>
      <c r="F59" s="892"/>
      <c r="G59" s="892"/>
      <c r="H59" s="892"/>
      <c r="I59" s="892"/>
      <c r="J59" s="892"/>
      <c r="K59" s="892"/>
      <c r="L59" s="892"/>
      <c r="M59" s="892"/>
      <c r="N59" s="892"/>
      <c r="O59" s="892"/>
      <c r="P59" s="47"/>
      <c r="R59" s="736"/>
      <c r="S59" s="707"/>
      <c r="T59" s="707"/>
      <c r="U59" s="707"/>
      <c r="V59" s="707"/>
      <c r="W59" s="707"/>
      <c r="X59" s="707"/>
      <c r="Y59" s="707"/>
      <c r="Z59" s="707"/>
      <c r="AA59" s="707"/>
      <c r="AB59" s="707"/>
      <c r="AC59" s="707"/>
      <c r="AD59" s="707"/>
      <c r="AE59" s="737"/>
    </row>
    <row r="60" spans="1:31" s="17" customFormat="1" ht="18" customHeight="1">
      <c r="A60" s="892"/>
      <c r="B60" s="824"/>
      <c r="C60" s="215"/>
      <c r="D60" s="215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47"/>
      <c r="R60" s="736"/>
      <c r="S60" s="707"/>
      <c r="T60" s="707"/>
      <c r="U60" s="707"/>
      <c r="V60" s="707"/>
      <c r="W60" s="707"/>
      <c r="X60" s="707"/>
      <c r="Y60" s="707"/>
      <c r="Z60" s="707"/>
      <c r="AA60" s="707"/>
      <c r="AB60" s="707"/>
      <c r="AC60" s="707"/>
      <c r="AD60" s="707"/>
      <c r="AE60" s="737"/>
    </row>
    <row r="61" spans="1:31" s="17" customFormat="1" ht="18" customHeight="1">
      <c r="A61" s="892"/>
      <c r="B61" s="824"/>
      <c r="C61" s="67" t="s">
        <v>785</v>
      </c>
      <c r="D61" s="65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30"/>
      <c r="P61" s="47"/>
      <c r="R61" s="736"/>
      <c r="S61" s="707"/>
      <c r="T61" s="707"/>
      <c r="U61" s="707"/>
      <c r="V61" s="707"/>
      <c r="W61" s="707"/>
      <c r="X61" s="707"/>
      <c r="Y61" s="707"/>
      <c r="Z61" s="707"/>
      <c r="AA61" s="707"/>
      <c r="AB61" s="707"/>
      <c r="AC61" s="707"/>
      <c r="AD61" s="707"/>
      <c r="AE61" s="737"/>
    </row>
    <row r="62" spans="1:31" s="17" customFormat="1" ht="36" customHeight="1">
      <c r="A62" s="892"/>
      <c r="B62" s="824"/>
      <c r="C62" s="1294" t="s">
        <v>786</v>
      </c>
      <c r="D62" s="1294"/>
      <c r="E62" s="1294"/>
      <c r="F62" s="1294"/>
      <c r="G62" s="1294"/>
      <c r="H62" s="1294"/>
      <c r="I62" s="1294"/>
      <c r="J62" s="1294"/>
      <c r="K62" s="1294"/>
      <c r="L62" s="1294"/>
      <c r="M62" s="1294"/>
      <c r="N62" s="1294"/>
      <c r="O62" s="1294"/>
      <c r="P62" s="47"/>
      <c r="R62" s="736"/>
      <c r="S62" s="707"/>
      <c r="T62" s="707"/>
      <c r="U62" s="707"/>
      <c r="V62" s="707"/>
      <c r="W62" s="707"/>
      <c r="X62" s="707"/>
      <c r="Y62" s="707"/>
      <c r="Z62" s="707"/>
      <c r="AA62" s="707"/>
      <c r="AB62" s="707"/>
      <c r="AC62" s="707"/>
      <c r="AD62" s="707"/>
      <c r="AE62" s="737"/>
    </row>
    <row r="63" spans="1:31" ht="18" customHeight="1" thickBot="1">
      <c r="B63" s="49"/>
      <c r="C63" s="1154"/>
      <c r="D63" s="1154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50"/>
      <c r="P63" s="51"/>
      <c r="R63" s="738"/>
      <c r="S63" s="739"/>
      <c r="T63" s="739"/>
      <c r="U63" s="739"/>
      <c r="V63" s="739"/>
      <c r="W63" s="739"/>
      <c r="X63" s="739"/>
      <c r="Y63" s="739"/>
      <c r="Z63" s="739"/>
      <c r="AA63" s="739"/>
      <c r="AB63" s="739"/>
      <c r="AC63" s="739"/>
      <c r="AD63" s="739"/>
      <c r="AE63" s="740"/>
    </row>
    <row r="64" spans="1:31" ht="22.95" customHeight="1">
      <c r="Q64" s="31" t="s">
        <v>179</v>
      </c>
    </row>
    <row r="65" spans="3:15" ht="13.2">
      <c r="C65" s="52" t="s">
        <v>52</v>
      </c>
      <c r="O65" s="29" t="s">
        <v>787</v>
      </c>
    </row>
    <row r="66" spans="3:15" ht="13.2">
      <c r="C66" s="52" t="s">
        <v>54</v>
      </c>
    </row>
    <row r="67" spans="3:15" ht="13.2">
      <c r="C67" s="52" t="s">
        <v>55</v>
      </c>
    </row>
    <row r="68" spans="3:15" ht="13.2">
      <c r="C68" s="52" t="s">
        <v>56</v>
      </c>
    </row>
    <row r="69" spans="3:15" ht="13.2">
      <c r="C69" s="52" t="s">
        <v>57</v>
      </c>
    </row>
  </sheetData>
  <sheetProtection algorithmName="SHA-512" hashValue="YK/uEoxS8xXvKZO32+k/1idyVVmyjXpKiLdyo70DjlcHTC9N80g4GN/OmYJcHfpGY7mdIgolrDbpAU27jF/ZPw==" saltValue="wHWVLApE2UB1oLgJh2YHrw==" spinCount="100000" sheet="1" objects="1" scenarios="1"/>
  <mergeCells count="30">
    <mergeCell ref="F13:L13"/>
    <mergeCell ref="C14:E14"/>
    <mergeCell ref="C15:E15"/>
    <mergeCell ref="C16:E16"/>
    <mergeCell ref="C21:E21"/>
    <mergeCell ref="C51:E51"/>
    <mergeCell ref="C53:E53"/>
    <mergeCell ref="C54:E54"/>
    <mergeCell ref="C55:E55"/>
    <mergeCell ref="C13:E13"/>
    <mergeCell ref="C23:E23"/>
    <mergeCell ref="C25:E25"/>
    <mergeCell ref="C30:E30"/>
    <mergeCell ref="C31:E31"/>
    <mergeCell ref="C63:D63"/>
    <mergeCell ref="O6:O7"/>
    <mergeCell ref="D9:O9"/>
    <mergeCell ref="C12:D12"/>
    <mergeCell ref="C45:E45"/>
    <mergeCell ref="C39:E39"/>
    <mergeCell ref="C42:E42"/>
    <mergeCell ref="C35:E35"/>
    <mergeCell ref="C36:E36"/>
    <mergeCell ref="C37:E37"/>
    <mergeCell ref="C58:E58"/>
    <mergeCell ref="C62:O62"/>
    <mergeCell ref="C56:E56"/>
    <mergeCell ref="C57:E57"/>
    <mergeCell ref="C48:E48"/>
    <mergeCell ref="F50:L50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pageSetUpPr fitToPage="1"/>
  </sheetPr>
  <dimension ref="A2:Z72"/>
  <sheetViews>
    <sheetView topLeftCell="A37" zoomScale="70" zoomScaleNormal="70" workbookViewId="0">
      <selection activeCell="F31" sqref="F31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5.453125" style="31" customWidth="1"/>
    <col min="4" max="4" width="18.81640625" style="31" customWidth="1"/>
    <col min="5" max="5" width="13.453125" style="31" customWidth="1"/>
    <col min="6" max="10" width="18.54296875" style="32" customWidth="1"/>
    <col min="11" max="11" width="3.453125" style="31" customWidth="1"/>
    <col min="12" max="16384" width="10.54296875" style="31"/>
  </cols>
  <sheetData>
    <row r="2" spans="1:26" ht="22.95" customHeight="1">
      <c r="E2" s="318" t="str">
        <f>_GENERAL!D2</f>
        <v>Área de la Presidenta: Igualdad y Diversidad, Hacienda y Proyectos Estratégicos</v>
      </c>
    </row>
    <row r="3" spans="1:26" ht="22.95" customHeight="1">
      <c r="E3" s="318" t="str">
        <f>_GENERAL!D3</f>
        <v>Dirección Insular de Hacienda</v>
      </c>
    </row>
    <row r="4" spans="1:26" ht="22.95" customHeight="1" thickBot="1">
      <c r="A4" s="31" t="s">
        <v>129</v>
      </c>
    </row>
    <row r="5" spans="1:26" ht="9" customHeight="1">
      <c r="B5" s="33"/>
      <c r="C5" s="34"/>
      <c r="D5" s="34"/>
      <c r="E5" s="34"/>
      <c r="F5" s="35"/>
      <c r="G5" s="35"/>
      <c r="H5" s="35"/>
      <c r="I5" s="35"/>
      <c r="J5" s="35"/>
      <c r="K5" s="36"/>
      <c r="M5" s="700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2"/>
    </row>
    <row r="6" spans="1:26" ht="30" customHeight="1">
      <c r="B6" s="37"/>
      <c r="C6" s="28" t="s">
        <v>2</v>
      </c>
      <c r="E6" s="32"/>
      <c r="J6" s="1138">
        <f>ejercicio</f>
        <v>2025</v>
      </c>
      <c r="K6" s="38"/>
      <c r="M6" s="736"/>
      <c r="N6" s="707"/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7"/>
      <c r="Z6" s="737"/>
    </row>
    <row r="7" spans="1:26" ht="30" customHeight="1">
      <c r="B7" s="37"/>
      <c r="C7" s="28" t="s">
        <v>3</v>
      </c>
      <c r="E7" s="32"/>
      <c r="J7" s="1138"/>
      <c r="K7" s="38"/>
      <c r="M7" s="167"/>
      <c r="N7" s="164" t="s">
        <v>130</v>
      </c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9"/>
    </row>
    <row r="8" spans="1:26" ht="30" customHeight="1">
      <c r="B8" s="37"/>
      <c r="C8" s="39"/>
      <c r="E8" s="32"/>
      <c r="J8" s="40"/>
      <c r="K8" s="38"/>
      <c r="M8" s="736"/>
      <c r="N8" s="707"/>
      <c r="O8" s="707"/>
      <c r="P8" s="707"/>
      <c r="Q8" s="707"/>
      <c r="R8" s="707"/>
      <c r="S8" s="707"/>
      <c r="T8" s="707"/>
      <c r="U8" s="707"/>
      <c r="V8" s="707"/>
      <c r="W8" s="707"/>
      <c r="X8" s="707"/>
      <c r="Y8" s="707"/>
      <c r="Z8" s="737"/>
    </row>
    <row r="9" spans="1:26" s="77" customFormat="1" ht="30" customHeight="1">
      <c r="A9" s="892"/>
      <c r="B9" s="824"/>
      <c r="C9" s="21" t="s">
        <v>59</v>
      </c>
      <c r="D9" s="122"/>
      <c r="E9" s="1155" t="str">
        <f>Entidad</f>
        <v>Fundación Canaria TENERIFE RURAL</v>
      </c>
      <c r="F9" s="1155"/>
      <c r="G9" s="1155"/>
      <c r="H9" s="1155"/>
      <c r="I9" s="1155"/>
      <c r="J9" s="1155"/>
      <c r="K9" s="38"/>
      <c r="L9" s="892"/>
      <c r="M9" s="736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07"/>
      <c r="Y9" s="707"/>
      <c r="Z9" s="737"/>
    </row>
    <row r="10" spans="1:26" ht="7.2" customHeight="1">
      <c r="B10" s="37"/>
      <c r="E10" s="32"/>
      <c r="J10" s="31"/>
      <c r="K10" s="38"/>
      <c r="M10" s="736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07"/>
      <c r="Y10" s="707"/>
      <c r="Z10" s="737"/>
    </row>
    <row r="11" spans="1:26" s="45" customFormat="1" ht="30" customHeight="1">
      <c r="B11" s="41"/>
      <c r="C11" s="42" t="s">
        <v>788</v>
      </c>
      <c r="D11" s="42"/>
      <c r="E11" s="43"/>
      <c r="F11" s="43"/>
      <c r="G11" s="43"/>
      <c r="H11" s="43"/>
      <c r="I11" s="43"/>
      <c r="J11" s="43"/>
      <c r="K11" s="38"/>
      <c r="M11" s="736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37"/>
    </row>
    <row r="12" spans="1:26" s="45" customFormat="1" ht="30" customHeight="1">
      <c r="B12" s="41"/>
      <c r="C12" s="1184"/>
      <c r="D12" s="1184"/>
      <c r="E12" s="30"/>
      <c r="F12" s="30"/>
      <c r="G12" s="30"/>
      <c r="H12" s="30"/>
      <c r="I12" s="30"/>
      <c r="J12" s="121"/>
      <c r="K12" s="38"/>
      <c r="M12" s="736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37"/>
    </row>
    <row r="13" spans="1:26" ht="28.95" customHeight="1">
      <c r="B13" s="46"/>
      <c r="C13" s="27" t="s">
        <v>789</v>
      </c>
      <c r="D13" s="571"/>
      <c r="E13" s="30"/>
      <c r="F13" s="30"/>
      <c r="G13" s="30"/>
      <c r="H13" s="30"/>
      <c r="I13" s="30"/>
      <c r="J13" s="31"/>
      <c r="K13" s="38"/>
      <c r="M13" s="736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37"/>
    </row>
    <row r="14" spans="1:26" ht="25.2" customHeight="1">
      <c r="B14" s="46"/>
      <c r="C14" s="908" t="s">
        <v>790</v>
      </c>
      <c r="D14" s="202"/>
      <c r="E14" s="571"/>
      <c r="F14" s="30"/>
      <c r="G14" s="30"/>
      <c r="H14" s="30"/>
      <c r="I14" s="30"/>
      <c r="J14" s="30"/>
      <c r="K14" s="38"/>
      <c r="M14" s="736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37"/>
    </row>
    <row r="15" spans="1:26" ht="22.95" customHeight="1">
      <c r="B15" s="46"/>
      <c r="C15" s="193" t="s">
        <v>791</v>
      </c>
      <c r="D15" s="599" t="s">
        <v>792</v>
      </c>
      <c r="F15" s="30"/>
      <c r="G15" s="30"/>
      <c r="H15" s="30"/>
      <c r="I15" s="30"/>
      <c r="J15" s="30"/>
      <c r="K15" s="38"/>
      <c r="M15" s="736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37"/>
    </row>
    <row r="16" spans="1:26" ht="9" customHeight="1">
      <c r="B16" s="46"/>
      <c r="C16" s="59"/>
      <c r="D16" s="599"/>
      <c r="F16" s="30"/>
      <c r="G16" s="30"/>
      <c r="H16" s="30"/>
      <c r="I16" s="30"/>
      <c r="J16" s="30"/>
      <c r="K16" s="38"/>
      <c r="M16" s="736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37"/>
    </row>
    <row r="17" spans="2:26" ht="22.95" customHeight="1">
      <c r="B17" s="46"/>
      <c r="C17" s="193"/>
      <c r="D17" s="599" t="s">
        <v>793</v>
      </c>
      <c r="F17" s="30"/>
      <c r="G17" s="30"/>
      <c r="H17" s="30"/>
      <c r="I17" s="30"/>
      <c r="J17" s="30"/>
      <c r="K17" s="38"/>
      <c r="M17" s="736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37"/>
    </row>
    <row r="18" spans="2:26" ht="10.199999999999999" customHeight="1">
      <c r="B18" s="46"/>
      <c r="C18" s="59"/>
      <c r="D18" s="599"/>
      <c r="F18" s="30"/>
      <c r="G18" s="30"/>
      <c r="H18" s="30"/>
      <c r="I18" s="30"/>
      <c r="J18" s="30"/>
      <c r="K18" s="38"/>
      <c r="M18" s="736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37"/>
    </row>
    <row r="19" spans="2:26" ht="22.95" customHeight="1">
      <c r="B19" s="46"/>
      <c r="C19" s="193"/>
      <c r="D19" s="599" t="s">
        <v>794</v>
      </c>
      <c r="F19" s="30"/>
      <c r="G19" s="30"/>
      <c r="H19" s="30"/>
      <c r="I19" s="30"/>
      <c r="J19" s="30"/>
      <c r="K19" s="38"/>
      <c r="M19" s="736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37"/>
    </row>
    <row r="20" spans="2:26" ht="9" customHeight="1">
      <c r="B20" s="46"/>
      <c r="C20" s="59"/>
      <c r="D20" s="599"/>
      <c r="F20" s="30"/>
      <c r="G20" s="30"/>
      <c r="H20" s="30"/>
      <c r="I20" s="30"/>
      <c r="J20" s="30"/>
      <c r="K20" s="38"/>
      <c r="M20" s="736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37"/>
    </row>
    <row r="21" spans="2:26" ht="22.95" customHeight="1">
      <c r="B21" s="46"/>
      <c r="C21" s="193"/>
      <c r="D21" s="599" t="s">
        <v>795</v>
      </c>
      <c r="F21" s="30"/>
      <c r="G21" s="30"/>
      <c r="H21" s="30"/>
      <c r="I21" s="30"/>
      <c r="J21" s="30"/>
      <c r="K21" s="38"/>
      <c r="M21" s="736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37"/>
    </row>
    <row r="22" spans="2:26" ht="9" customHeight="1">
      <c r="B22" s="46"/>
      <c r="C22" s="59"/>
      <c r="D22" s="599"/>
      <c r="F22" s="30"/>
      <c r="G22" s="30"/>
      <c r="H22" s="30"/>
      <c r="I22" s="30"/>
      <c r="J22" s="30"/>
      <c r="K22" s="38"/>
      <c r="M22" s="736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37"/>
    </row>
    <row r="23" spans="2:26" ht="22.95" customHeight="1">
      <c r="B23" s="46"/>
      <c r="C23" s="193"/>
      <c r="D23" s="599" t="s">
        <v>796</v>
      </c>
      <c r="F23" s="30"/>
      <c r="G23" s="30"/>
      <c r="H23" s="30"/>
      <c r="I23" s="30"/>
      <c r="J23" s="30"/>
      <c r="K23" s="38"/>
      <c r="M23" s="736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737"/>
    </row>
    <row r="24" spans="2:26" ht="22.95" customHeight="1">
      <c r="B24" s="46"/>
      <c r="C24" s="59"/>
      <c r="D24" s="599"/>
      <c r="F24" s="30"/>
      <c r="G24" s="30"/>
      <c r="H24" s="30"/>
      <c r="I24" s="30"/>
      <c r="J24" s="30"/>
      <c r="K24" s="38"/>
      <c r="M24" s="736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37"/>
    </row>
    <row r="25" spans="2:26" ht="22.95" customHeight="1">
      <c r="B25" s="46"/>
      <c r="C25" s="17"/>
      <c r="D25" s="571"/>
      <c r="E25" s="571"/>
      <c r="F25" s="30"/>
      <c r="G25" s="30"/>
      <c r="H25" s="30"/>
      <c r="I25" s="30"/>
      <c r="J25" s="30"/>
      <c r="K25" s="38"/>
      <c r="M25" s="736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37"/>
    </row>
    <row r="26" spans="2:26" ht="22.95" customHeight="1">
      <c r="B26" s="46"/>
      <c r="C26" s="27" t="s">
        <v>797</v>
      </c>
      <c r="E26" s="571"/>
      <c r="F26" s="30"/>
      <c r="G26" s="30"/>
      <c r="H26" s="30"/>
      <c r="I26" s="30"/>
      <c r="J26" s="30"/>
      <c r="K26" s="38"/>
      <c r="M26" s="736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37"/>
    </row>
    <row r="27" spans="2:26" ht="9" customHeight="1">
      <c r="B27" s="46"/>
      <c r="C27" s="27"/>
      <c r="E27" s="571"/>
      <c r="F27" s="30"/>
      <c r="G27" s="30"/>
      <c r="H27" s="30"/>
      <c r="I27" s="30"/>
      <c r="J27" s="30"/>
      <c r="K27" s="38"/>
      <c r="M27" s="736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37"/>
    </row>
    <row r="28" spans="2:26" ht="22.95" customHeight="1">
      <c r="B28" s="46"/>
      <c r="C28" s="78" t="str">
        <f>IF(VLOOKUP("X",C15:D23,2,FALSE)="#N/A",VLOOKUP("x",C15:D23,2,FALSE),VLOOKUP("X",C15:D23,2,FALSE))</f>
        <v xml:space="preserve">  Administracion General y Resto de sectores</v>
      </c>
      <c r="D28" s="79"/>
      <c r="E28" s="79"/>
      <c r="F28" s="79"/>
      <c r="G28" s="79"/>
      <c r="H28" s="129"/>
      <c r="I28" s="30"/>
      <c r="J28" s="30"/>
      <c r="K28" s="38"/>
      <c r="M28" s="736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37"/>
    </row>
    <row r="29" spans="2:26" ht="22.95" customHeight="1">
      <c r="B29" s="46"/>
      <c r="C29" s="17"/>
      <c r="D29" s="571"/>
      <c r="E29" s="571"/>
      <c r="F29" s="30"/>
      <c r="G29" s="30"/>
      <c r="H29" s="30"/>
      <c r="I29" s="30"/>
      <c r="J29" s="30"/>
      <c r="K29" s="38"/>
      <c r="M29" s="736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7"/>
      <c r="Z29" s="737"/>
    </row>
    <row r="30" spans="2:26" s="39" customFormat="1" ht="22.95" customHeight="1">
      <c r="B30" s="64"/>
      <c r="C30" s="78" t="s">
        <v>798</v>
      </c>
      <c r="D30" s="74"/>
      <c r="E30" s="93"/>
      <c r="F30" s="80">
        <f>E45</f>
        <v>12</v>
      </c>
      <c r="G30" s="30"/>
      <c r="H30" s="30"/>
      <c r="I30" s="30"/>
      <c r="J30" s="30"/>
      <c r="K30" s="55"/>
      <c r="M30" s="736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7"/>
      <c r="Y30" s="707"/>
      <c r="Z30" s="737"/>
    </row>
    <row r="31" spans="2:26" s="39" customFormat="1" ht="22.95" customHeight="1">
      <c r="B31" s="64"/>
      <c r="C31" s="133" t="s">
        <v>799</v>
      </c>
      <c r="D31" s="134"/>
      <c r="E31" s="135"/>
      <c r="F31" s="80">
        <f>J45+F53</f>
        <v>446684.93000000005</v>
      </c>
      <c r="G31" s="30"/>
      <c r="H31" s="30"/>
      <c r="I31" s="30"/>
      <c r="J31" s="30"/>
      <c r="K31" s="55"/>
      <c r="M31" s="736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37"/>
    </row>
    <row r="32" spans="2:26" ht="22.95" customHeight="1">
      <c r="B32" s="46"/>
      <c r="D32" s="599"/>
      <c r="E32" s="571"/>
      <c r="F32" s="96"/>
      <c r="G32" s="30"/>
      <c r="H32" s="30"/>
      <c r="I32" s="30"/>
      <c r="J32" s="30"/>
      <c r="K32" s="38"/>
      <c r="M32" s="736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37"/>
    </row>
    <row r="33" spans="2:26" ht="22.95" customHeight="1">
      <c r="B33" s="46"/>
      <c r="C33" s="17"/>
      <c r="D33" s="571"/>
      <c r="E33" s="571"/>
      <c r="F33" s="30"/>
      <c r="G33" s="30"/>
      <c r="H33" s="30"/>
      <c r="I33" s="30"/>
      <c r="J33" s="30"/>
      <c r="K33" s="38"/>
      <c r="M33" s="736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37"/>
    </row>
    <row r="34" spans="2:26" ht="22.95" customHeight="1">
      <c r="B34" s="46"/>
      <c r="C34" s="27" t="s">
        <v>800</v>
      </c>
      <c r="E34" s="571"/>
      <c r="F34" s="30"/>
      <c r="G34" s="30"/>
      <c r="H34" s="30"/>
      <c r="I34" s="30"/>
      <c r="J34" s="30"/>
      <c r="K34" s="38"/>
      <c r="M34" s="736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37"/>
    </row>
    <row r="35" spans="2:26" ht="22.95" customHeight="1">
      <c r="B35" s="46"/>
      <c r="C35" s="17"/>
      <c r="D35" s="571"/>
      <c r="E35" s="571"/>
      <c r="F35" s="30"/>
      <c r="G35" s="30"/>
      <c r="H35" s="30"/>
      <c r="I35" s="30"/>
      <c r="J35" s="30"/>
      <c r="K35" s="38"/>
      <c r="M35" s="736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37"/>
    </row>
    <row r="36" spans="2:26" s="109" customFormat="1" ht="22.95" customHeight="1">
      <c r="B36" s="110"/>
      <c r="C36" s="123"/>
      <c r="D36" s="126"/>
      <c r="E36" s="111"/>
      <c r="F36" s="1207" t="s">
        <v>801</v>
      </c>
      <c r="G36" s="1208"/>
      <c r="H36" s="1208"/>
      <c r="I36" s="1208"/>
      <c r="J36" s="1209"/>
      <c r="K36" s="112"/>
      <c r="M36" s="736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7"/>
      <c r="Y36" s="707"/>
      <c r="Z36" s="737"/>
    </row>
    <row r="37" spans="2:26" s="109" customFormat="1" ht="24" customHeight="1">
      <c r="B37" s="110"/>
      <c r="C37" s="1220" t="s">
        <v>802</v>
      </c>
      <c r="D37" s="1221"/>
      <c r="E37" s="114" t="s">
        <v>803</v>
      </c>
      <c r="F37" s="113" t="s">
        <v>804</v>
      </c>
      <c r="G37" s="113" t="s">
        <v>805</v>
      </c>
      <c r="H37" s="113" t="s">
        <v>806</v>
      </c>
      <c r="I37" s="113" t="s">
        <v>807</v>
      </c>
      <c r="J37" s="119" t="s">
        <v>808</v>
      </c>
      <c r="K37" s="112"/>
      <c r="M37" s="736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7"/>
      <c r="Y37" s="707"/>
      <c r="Z37" s="737"/>
    </row>
    <row r="38" spans="2:26" s="109" customFormat="1" ht="24" customHeight="1">
      <c r="B38" s="110"/>
      <c r="C38" s="1230" t="s">
        <v>43</v>
      </c>
      <c r="D38" s="1231"/>
      <c r="E38" s="116" t="s">
        <v>809</v>
      </c>
      <c r="F38" s="115" t="s">
        <v>810</v>
      </c>
      <c r="G38" s="115" t="s">
        <v>811</v>
      </c>
      <c r="H38" s="115" t="s">
        <v>812</v>
      </c>
      <c r="I38" s="115" t="s">
        <v>813</v>
      </c>
      <c r="J38" s="117" t="s">
        <v>813</v>
      </c>
      <c r="K38" s="112"/>
      <c r="M38" s="736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7"/>
      <c r="Y38" s="707"/>
      <c r="Z38" s="737"/>
    </row>
    <row r="39" spans="2:26" ht="22.95" customHeight="1">
      <c r="B39" s="46"/>
      <c r="C39" s="607" t="s">
        <v>814</v>
      </c>
      <c r="D39" s="682"/>
      <c r="E39" s="1032"/>
      <c r="F39" s="357"/>
      <c r="G39" s="357"/>
      <c r="H39" s="357"/>
      <c r="I39" s="357"/>
      <c r="J39" s="203">
        <f>SUM(F39:I39)</f>
        <v>0</v>
      </c>
      <c r="K39" s="38"/>
      <c r="M39" s="736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7"/>
      <c r="Y39" s="707"/>
      <c r="Z39" s="737"/>
    </row>
    <row r="40" spans="2:26" ht="22.95" customHeight="1">
      <c r="B40" s="46"/>
      <c r="C40" s="607" t="s">
        <v>815</v>
      </c>
      <c r="D40" s="682"/>
      <c r="E40" s="1032">
        <v>1</v>
      </c>
      <c r="F40" s="357">
        <v>45800.04</v>
      </c>
      <c r="G40" s="357"/>
      <c r="H40" s="357"/>
      <c r="I40" s="357">
        <v>12212.14</v>
      </c>
      <c r="J40" s="203">
        <f>SUM(F40:I40)</f>
        <v>58012.18</v>
      </c>
      <c r="K40" s="38"/>
      <c r="M40" s="736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07"/>
      <c r="Y40" s="707"/>
      <c r="Z40" s="737"/>
    </row>
    <row r="41" spans="2:26" ht="22.95" customHeight="1">
      <c r="B41" s="46"/>
      <c r="C41" s="607" t="s">
        <v>816</v>
      </c>
      <c r="D41" s="682"/>
      <c r="E41" s="1032"/>
      <c r="F41" s="357"/>
      <c r="G41" s="357"/>
      <c r="H41" s="357"/>
      <c r="I41" s="357"/>
      <c r="J41" s="203">
        <f t="shared" ref="J41:J44" si="0">SUM(F41:I41)</f>
        <v>0</v>
      </c>
      <c r="K41" s="38"/>
      <c r="M41" s="736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7"/>
      <c r="Y41" s="707"/>
      <c r="Z41" s="737"/>
    </row>
    <row r="42" spans="2:26" ht="22.95" customHeight="1">
      <c r="B42" s="46"/>
      <c r="C42" s="607" t="s">
        <v>817</v>
      </c>
      <c r="D42" s="682"/>
      <c r="E42" s="1032">
        <v>11</v>
      </c>
      <c r="F42" s="357">
        <v>237058.44</v>
      </c>
      <c r="G42" s="357"/>
      <c r="H42" s="357"/>
      <c r="I42" s="357">
        <v>39397.089999999997</v>
      </c>
      <c r="J42" s="203">
        <f t="shared" si="0"/>
        <v>276455.53000000003</v>
      </c>
      <c r="K42" s="38"/>
      <c r="M42" s="736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07"/>
      <c r="Y42" s="707"/>
      <c r="Z42" s="737"/>
    </row>
    <row r="43" spans="2:26" ht="22.95" customHeight="1">
      <c r="B43" s="46"/>
      <c r="C43" s="607" t="s">
        <v>818</v>
      </c>
      <c r="D43" s="682"/>
      <c r="E43" s="1032"/>
      <c r="F43" s="357"/>
      <c r="G43" s="357"/>
      <c r="H43" s="357"/>
      <c r="I43" s="357"/>
      <c r="J43" s="203">
        <f t="shared" si="0"/>
        <v>0</v>
      </c>
      <c r="K43" s="38"/>
      <c r="M43" s="736"/>
      <c r="N43" s="707"/>
      <c r="O43" s="707"/>
      <c r="P43" s="707"/>
      <c r="Q43" s="707"/>
      <c r="R43" s="707"/>
      <c r="S43" s="707"/>
      <c r="T43" s="707"/>
      <c r="U43" s="707"/>
      <c r="V43" s="707"/>
      <c r="W43" s="707"/>
      <c r="X43" s="707"/>
      <c r="Y43" s="707"/>
      <c r="Z43" s="737"/>
    </row>
    <row r="44" spans="2:26" ht="22.95" customHeight="1">
      <c r="B44" s="46"/>
      <c r="C44" s="608" t="s">
        <v>819</v>
      </c>
      <c r="D44" s="1033"/>
      <c r="E44" s="1034"/>
      <c r="F44" s="605"/>
      <c r="G44" s="605"/>
      <c r="H44" s="605"/>
      <c r="I44" s="605"/>
      <c r="J44" s="203">
        <f t="shared" si="0"/>
        <v>0</v>
      </c>
      <c r="K44" s="38"/>
      <c r="M44" s="736"/>
      <c r="N44" s="707"/>
      <c r="O44" s="707"/>
      <c r="P44" s="707"/>
      <c r="Q44" s="707"/>
      <c r="R44" s="707"/>
      <c r="S44" s="707"/>
      <c r="T44" s="707"/>
      <c r="U44" s="707"/>
      <c r="V44" s="707"/>
      <c r="W44" s="707"/>
      <c r="X44" s="707"/>
      <c r="Y44" s="707"/>
      <c r="Z44" s="737"/>
    </row>
    <row r="45" spans="2:26" ht="22.95" customHeight="1" thickBot="1">
      <c r="B45" s="46"/>
      <c r="C45" s="1306" t="s">
        <v>820</v>
      </c>
      <c r="D45" s="1307"/>
      <c r="E45" s="131">
        <f t="shared" ref="E45:J45" si="1">SUM(E39:E44)</f>
        <v>12</v>
      </c>
      <c r="F45" s="131">
        <f>SUM(F39:F44)</f>
        <v>282858.48</v>
      </c>
      <c r="G45" s="131">
        <f t="shared" si="1"/>
        <v>0</v>
      </c>
      <c r="H45" s="131">
        <f t="shared" si="1"/>
        <v>0</v>
      </c>
      <c r="I45" s="131">
        <f>SUM(I39:I44)</f>
        <v>51609.229999999996</v>
      </c>
      <c r="J45" s="131">
        <f t="shared" si="1"/>
        <v>334467.71000000002</v>
      </c>
      <c r="K45" s="38"/>
      <c r="M45" s="736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737"/>
    </row>
    <row r="46" spans="2:26" ht="22.95" customHeight="1">
      <c r="B46" s="46"/>
      <c r="C46" s="17"/>
      <c r="D46" s="599"/>
      <c r="E46" s="599"/>
      <c r="F46" s="96"/>
      <c r="G46" s="96"/>
      <c r="H46" s="96"/>
      <c r="I46" s="96"/>
      <c r="J46" s="30"/>
      <c r="K46" s="38"/>
      <c r="M46" s="736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7"/>
      <c r="Z46" s="737"/>
    </row>
    <row r="47" spans="2:26" ht="22.95" customHeight="1">
      <c r="B47" s="46"/>
      <c r="C47" s="17"/>
      <c r="D47" s="599"/>
      <c r="E47" s="599"/>
      <c r="F47" s="96"/>
      <c r="G47" s="96"/>
      <c r="H47" s="96"/>
      <c r="I47" s="96"/>
      <c r="J47" s="30"/>
      <c r="K47" s="38"/>
      <c r="M47" s="736"/>
      <c r="N47" s="707"/>
      <c r="O47" s="707"/>
      <c r="P47" s="707"/>
      <c r="Q47" s="707"/>
      <c r="R47" s="707"/>
      <c r="S47" s="707"/>
      <c r="T47" s="707"/>
      <c r="U47" s="707"/>
      <c r="V47" s="707"/>
      <c r="W47" s="707"/>
      <c r="X47" s="707"/>
      <c r="Y47" s="707"/>
      <c r="Z47" s="737"/>
    </row>
    <row r="48" spans="2:26" ht="22.95" customHeight="1">
      <c r="B48" s="46"/>
      <c r="C48" s="27" t="s">
        <v>821</v>
      </c>
      <c r="D48" s="599"/>
      <c r="E48" s="599"/>
      <c r="F48" s="96"/>
      <c r="G48" s="96"/>
      <c r="H48" s="96"/>
      <c r="I48" s="96"/>
      <c r="J48" s="30"/>
      <c r="K48" s="38"/>
      <c r="M48" s="736"/>
      <c r="N48" s="707"/>
      <c r="O48" s="707"/>
      <c r="P48" s="707"/>
      <c r="Q48" s="707"/>
      <c r="R48" s="707"/>
      <c r="S48" s="707"/>
      <c r="T48" s="707"/>
      <c r="U48" s="707"/>
      <c r="V48" s="707"/>
      <c r="W48" s="707"/>
      <c r="X48" s="707"/>
      <c r="Y48" s="707"/>
      <c r="Z48" s="737"/>
    </row>
    <row r="49" spans="1:26" ht="22.95" customHeight="1">
      <c r="B49" s="46"/>
      <c r="C49" s="27"/>
      <c r="D49" s="599"/>
      <c r="E49" s="599"/>
      <c r="F49" s="96"/>
      <c r="G49" s="96"/>
      <c r="H49" s="96"/>
      <c r="I49" s="96"/>
      <c r="J49" s="30"/>
      <c r="K49" s="38"/>
      <c r="M49" s="736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7"/>
      <c r="Z49" s="737"/>
    </row>
    <row r="50" spans="1:26" ht="22.95" customHeight="1">
      <c r="B50" s="46"/>
      <c r="C50" s="1207" t="s">
        <v>742</v>
      </c>
      <c r="D50" s="1208"/>
      <c r="E50" s="1308"/>
      <c r="F50" s="130" t="s">
        <v>700</v>
      </c>
      <c r="G50" s="96"/>
      <c r="H50" s="96"/>
      <c r="I50" s="96"/>
      <c r="J50" s="30"/>
      <c r="K50" s="38"/>
      <c r="M50" s="736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7"/>
      <c r="Z50" s="737"/>
    </row>
    <row r="51" spans="1:26" s="77" customFormat="1" ht="22.95" customHeight="1">
      <c r="A51" s="892"/>
      <c r="B51" s="824"/>
      <c r="C51" s="1035" t="s">
        <v>822</v>
      </c>
      <c r="D51" s="1036"/>
      <c r="E51" s="1036"/>
      <c r="F51" s="1037">
        <v>4899.03</v>
      </c>
      <c r="G51" s="96"/>
      <c r="H51" s="96"/>
      <c r="I51" s="96"/>
      <c r="J51" s="56"/>
      <c r="K51" s="825"/>
      <c r="L51" s="892"/>
      <c r="M51" s="736"/>
      <c r="N51" s="707"/>
      <c r="O51" s="707"/>
      <c r="P51" s="707"/>
      <c r="Q51" s="707"/>
      <c r="R51" s="707"/>
      <c r="S51" s="707"/>
      <c r="T51" s="707"/>
      <c r="U51" s="707"/>
      <c r="V51" s="707"/>
      <c r="W51" s="707"/>
      <c r="X51" s="707"/>
      <c r="Y51" s="707"/>
      <c r="Z51" s="737"/>
    </row>
    <row r="52" spans="1:26" s="77" customFormat="1" ht="22.95" customHeight="1">
      <c r="A52" s="892"/>
      <c r="B52" s="824"/>
      <c r="C52" s="1035" t="s">
        <v>823</v>
      </c>
      <c r="D52" s="1036"/>
      <c r="E52" s="1036"/>
      <c r="F52" s="1037">
        <v>107318.19</v>
      </c>
      <c r="G52" s="96"/>
      <c r="H52" s="96"/>
      <c r="I52" s="96"/>
      <c r="J52" s="56"/>
      <c r="K52" s="825"/>
      <c r="L52" s="892"/>
      <c r="M52" s="736"/>
      <c r="N52" s="707"/>
      <c r="O52" s="707"/>
      <c r="P52" s="707"/>
      <c r="Q52" s="707"/>
      <c r="R52" s="707"/>
      <c r="S52" s="707"/>
      <c r="T52" s="707"/>
      <c r="U52" s="707"/>
      <c r="V52" s="707"/>
      <c r="W52" s="707"/>
      <c r="X52" s="707"/>
      <c r="Y52" s="707"/>
      <c r="Z52" s="737"/>
    </row>
    <row r="53" spans="1:26" ht="22.95" customHeight="1" thickBot="1">
      <c r="B53" s="46"/>
      <c r="C53" s="1306" t="s">
        <v>820</v>
      </c>
      <c r="D53" s="1309"/>
      <c r="E53" s="132"/>
      <c r="F53" s="131">
        <f>SUM(F51:F52)</f>
        <v>112217.22</v>
      </c>
      <c r="G53" s="96"/>
      <c r="H53" s="96"/>
      <c r="I53" s="96"/>
      <c r="J53" s="56"/>
      <c r="K53" s="38"/>
      <c r="M53" s="736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7"/>
      <c r="Z53" s="737"/>
    </row>
    <row r="54" spans="1:26" ht="22.95" customHeight="1">
      <c r="B54" s="46"/>
      <c r="C54" s="17"/>
      <c r="D54" s="599"/>
      <c r="E54" s="599"/>
      <c r="F54" s="96"/>
      <c r="G54" s="96"/>
      <c r="H54" s="96"/>
      <c r="I54" s="96"/>
      <c r="J54" s="56"/>
      <c r="K54" s="38"/>
      <c r="M54" s="736"/>
      <c r="N54" s="707"/>
      <c r="O54" s="707"/>
      <c r="P54" s="707"/>
      <c r="Q54" s="707"/>
      <c r="R54" s="707"/>
      <c r="S54" s="707"/>
      <c r="T54" s="707"/>
      <c r="U54" s="707"/>
      <c r="V54" s="707"/>
      <c r="W54" s="707"/>
      <c r="X54" s="707"/>
      <c r="Y54" s="707"/>
      <c r="Z54" s="737"/>
    </row>
    <row r="55" spans="1:26" ht="22.95" customHeight="1">
      <c r="B55" s="46"/>
      <c r="C55" s="17"/>
      <c r="D55" s="599"/>
      <c r="E55" s="599"/>
      <c r="F55" s="96"/>
      <c r="G55" s="96"/>
      <c r="H55" s="96"/>
      <c r="I55" s="96"/>
      <c r="J55" s="56"/>
      <c r="K55" s="38"/>
      <c r="M55" s="736"/>
      <c r="N55" s="707"/>
      <c r="O55" s="707"/>
      <c r="P55" s="707"/>
      <c r="Q55" s="707"/>
      <c r="R55" s="707"/>
      <c r="S55" s="707"/>
      <c r="T55" s="707"/>
      <c r="U55" s="707"/>
      <c r="V55" s="707"/>
      <c r="W55" s="707"/>
      <c r="X55" s="707"/>
      <c r="Y55" s="707"/>
      <c r="Z55" s="737"/>
    </row>
    <row r="56" spans="1:26" ht="22.95" customHeight="1">
      <c r="B56" s="46"/>
      <c r="C56" s="27" t="s">
        <v>824</v>
      </c>
      <c r="D56" s="599"/>
      <c r="E56" s="599"/>
      <c r="F56" s="96"/>
      <c r="G56" s="96"/>
      <c r="H56" s="96"/>
      <c r="I56" s="96"/>
      <c r="J56" s="30"/>
      <c r="K56" s="38"/>
      <c r="M56" s="736"/>
      <c r="N56" s="707"/>
      <c r="O56" s="707"/>
      <c r="P56" s="707"/>
      <c r="Q56" s="707"/>
      <c r="R56" s="707"/>
      <c r="S56" s="707"/>
      <c r="T56" s="707"/>
      <c r="U56" s="707"/>
      <c r="V56" s="707"/>
      <c r="W56" s="707"/>
      <c r="X56" s="707"/>
      <c r="Y56" s="707"/>
      <c r="Z56" s="737"/>
    </row>
    <row r="57" spans="1:26" ht="22.95" customHeight="1">
      <c r="B57" s="46"/>
      <c r="C57" s="1038"/>
      <c r="D57" s="1039"/>
      <c r="E57" s="1039"/>
      <c r="F57" s="1039"/>
      <c r="G57" s="1039"/>
      <c r="H57" s="1039"/>
      <c r="I57" s="1039"/>
      <c r="J57" s="1040"/>
      <c r="K57" s="38"/>
      <c r="M57" s="736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7"/>
      <c r="Z57" s="737"/>
    </row>
    <row r="58" spans="1:26" ht="22.95" customHeight="1">
      <c r="B58" s="46"/>
      <c r="C58" s="1041"/>
      <c r="D58" s="1042"/>
      <c r="E58" s="1042"/>
      <c r="F58" s="1042"/>
      <c r="G58" s="1042"/>
      <c r="H58" s="1042"/>
      <c r="I58" s="1042"/>
      <c r="J58" s="1043"/>
      <c r="K58" s="38"/>
      <c r="M58" s="736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07"/>
      <c r="Y58" s="707"/>
      <c r="Z58" s="737"/>
    </row>
    <row r="59" spans="1:26" ht="22.95" customHeight="1">
      <c r="B59" s="46"/>
      <c r="C59" s="1041"/>
      <c r="D59" s="1042"/>
      <c r="E59" s="1042"/>
      <c r="F59" s="1042"/>
      <c r="G59" s="1042"/>
      <c r="H59" s="1042"/>
      <c r="I59" s="1042"/>
      <c r="J59" s="1043"/>
      <c r="K59" s="38"/>
      <c r="M59" s="736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07"/>
      <c r="Y59" s="707"/>
      <c r="Z59" s="737"/>
    </row>
    <row r="60" spans="1:26" ht="22.95" customHeight="1">
      <c r="B60" s="46"/>
      <c r="C60" s="1044"/>
      <c r="D60" s="1045"/>
      <c r="E60" s="1045"/>
      <c r="F60" s="1045"/>
      <c r="G60" s="1045"/>
      <c r="H60" s="1045"/>
      <c r="I60" s="1045"/>
      <c r="J60" s="1046"/>
      <c r="K60" s="38"/>
      <c r="M60" s="736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07"/>
      <c r="Y60" s="707"/>
      <c r="Z60" s="737"/>
    </row>
    <row r="61" spans="1:26" ht="22.95" customHeight="1">
      <c r="B61" s="46"/>
      <c r="C61" s="1047"/>
      <c r="D61" s="1047"/>
      <c r="E61" s="1047"/>
      <c r="F61" s="1047"/>
      <c r="G61" s="1047"/>
      <c r="H61" s="1047"/>
      <c r="I61" s="1047"/>
      <c r="J61" s="1047"/>
      <c r="K61" s="38"/>
      <c r="M61" s="736"/>
      <c r="N61" s="707"/>
      <c r="O61" s="707"/>
      <c r="P61" s="707"/>
      <c r="Q61" s="707"/>
      <c r="R61" s="707"/>
      <c r="S61" s="707"/>
      <c r="T61" s="707"/>
      <c r="U61" s="707"/>
      <c r="V61" s="707"/>
      <c r="W61" s="707"/>
      <c r="X61" s="707"/>
      <c r="Y61" s="707"/>
      <c r="Z61" s="737"/>
    </row>
    <row r="62" spans="1:26" ht="22.95" customHeight="1">
      <c r="B62" s="46"/>
      <c r="C62" s="316" t="s">
        <v>617</v>
      </c>
      <c r="D62" s="1047"/>
      <c r="E62" s="1047"/>
      <c r="F62" s="1047"/>
      <c r="G62" s="1047"/>
      <c r="H62" s="1047"/>
      <c r="I62" s="1047"/>
      <c r="J62" s="1047"/>
      <c r="K62" s="38"/>
      <c r="M62" s="736"/>
      <c r="N62" s="707"/>
      <c r="O62" s="707"/>
      <c r="P62" s="707"/>
      <c r="Q62" s="707"/>
      <c r="R62" s="707"/>
      <c r="S62" s="707"/>
      <c r="T62" s="707"/>
      <c r="U62" s="707"/>
      <c r="V62" s="707"/>
      <c r="W62" s="707"/>
      <c r="X62" s="707"/>
      <c r="Y62" s="707"/>
      <c r="Z62" s="737"/>
    </row>
    <row r="63" spans="1:26" ht="22.95" customHeight="1">
      <c r="B63" s="46"/>
      <c r="C63" s="317" t="s">
        <v>825</v>
      </c>
      <c r="D63" s="1047"/>
      <c r="E63" s="1047"/>
      <c r="F63" s="1047"/>
      <c r="G63" s="1047"/>
      <c r="H63" s="1047"/>
      <c r="I63" s="1047"/>
      <c r="J63" s="1047"/>
      <c r="K63" s="38"/>
      <c r="M63" s="736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07"/>
      <c r="Y63" s="707"/>
      <c r="Z63" s="737"/>
    </row>
    <row r="64" spans="1:26" ht="22.95" customHeight="1">
      <c r="B64" s="46"/>
      <c r="C64" s="19" t="s">
        <v>826</v>
      </c>
      <c r="D64" s="1047"/>
      <c r="E64" s="1047"/>
      <c r="F64" s="1047"/>
      <c r="G64" s="1047"/>
      <c r="H64" s="1047"/>
      <c r="I64" s="1047"/>
      <c r="J64" s="1047"/>
      <c r="K64" s="38"/>
      <c r="M64" s="736"/>
      <c r="N64" s="707"/>
      <c r="O64" s="707"/>
      <c r="P64" s="707"/>
      <c r="Q64" s="707"/>
      <c r="R64" s="707"/>
      <c r="S64" s="707"/>
      <c r="T64" s="707"/>
      <c r="U64" s="707"/>
      <c r="V64" s="707"/>
      <c r="W64" s="707"/>
      <c r="X64" s="707"/>
      <c r="Y64" s="707"/>
      <c r="Z64" s="737"/>
    </row>
    <row r="65" spans="2:26" ht="22.95" customHeight="1">
      <c r="B65" s="46"/>
      <c r="C65" s="19" t="s">
        <v>827</v>
      </c>
      <c r="D65" s="1047"/>
      <c r="E65" s="1047"/>
      <c r="F65" s="1047"/>
      <c r="G65" s="1047"/>
      <c r="H65" s="1047"/>
      <c r="I65" s="1047"/>
      <c r="J65" s="1047"/>
      <c r="K65" s="38"/>
      <c r="M65" s="736"/>
      <c r="N65" s="707"/>
      <c r="O65" s="707"/>
      <c r="P65" s="707"/>
      <c r="Q65" s="707"/>
      <c r="R65" s="707"/>
      <c r="S65" s="707"/>
      <c r="T65" s="707"/>
      <c r="U65" s="707"/>
      <c r="V65" s="707"/>
      <c r="W65" s="707"/>
      <c r="X65" s="707"/>
      <c r="Y65" s="707"/>
      <c r="Z65" s="737"/>
    </row>
    <row r="66" spans="2:26" ht="22.95" customHeight="1" thickBot="1">
      <c r="B66" s="49"/>
      <c r="C66" s="25"/>
      <c r="D66" s="1154"/>
      <c r="E66" s="1154"/>
      <c r="F66" s="25"/>
      <c r="G66" s="25"/>
      <c r="H66" s="25"/>
      <c r="I66" s="25"/>
      <c r="J66" s="50"/>
      <c r="K66" s="51"/>
      <c r="M66" s="738"/>
      <c r="N66" s="739"/>
      <c r="O66" s="739"/>
      <c r="P66" s="739"/>
      <c r="Q66" s="739"/>
      <c r="R66" s="739"/>
      <c r="S66" s="739"/>
      <c r="T66" s="739"/>
      <c r="U66" s="739"/>
      <c r="V66" s="739"/>
      <c r="W66" s="739"/>
      <c r="X66" s="739"/>
      <c r="Y66" s="739"/>
      <c r="Z66" s="740"/>
    </row>
    <row r="67" spans="2:26" ht="22.95" customHeight="1">
      <c r="L67" s="31" t="s">
        <v>179</v>
      </c>
    </row>
    <row r="68" spans="2:26" ht="13.2">
      <c r="D68" s="52" t="s">
        <v>52</v>
      </c>
      <c r="J68" s="29" t="s">
        <v>828</v>
      </c>
    </row>
    <row r="69" spans="2:26" ht="13.2">
      <c r="D69" s="52" t="s">
        <v>54</v>
      </c>
    </row>
    <row r="70" spans="2:26" ht="13.2">
      <c r="D70" s="52" t="s">
        <v>55</v>
      </c>
    </row>
    <row r="71" spans="2:26" ht="13.2">
      <c r="D71" s="52" t="s">
        <v>56</v>
      </c>
    </row>
    <row r="72" spans="2:26" ht="13.2">
      <c r="D72" s="52" t="s">
        <v>57</v>
      </c>
    </row>
  </sheetData>
  <sheetProtection algorithmName="SHA-512" hashValue="p5ChhzXzBhl430YNZoHG370aXuG9qTgdftXgtIB7+CzA6011K6+vifwaJ9f089PFEg088a3RpDvALCKt1I7dOw==" saltValue="+SEP7OB/ELh5AK4QeVeXqQ==" spinCount="100000" sheet="1" objects="1" scenarios="1"/>
  <mergeCells count="10">
    <mergeCell ref="J6:J7"/>
    <mergeCell ref="C12:D12"/>
    <mergeCell ref="C45:D45"/>
    <mergeCell ref="D66:E66"/>
    <mergeCell ref="E9:J9"/>
    <mergeCell ref="C37:D37"/>
    <mergeCell ref="C38:D38"/>
    <mergeCell ref="F36:J36"/>
    <mergeCell ref="C50:E50"/>
    <mergeCell ref="C53:D53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5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7">
    <pageSetUpPr fitToPage="1"/>
  </sheetPr>
  <dimension ref="A2:X159"/>
  <sheetViews>
    <sheetView topLeftCell="A12" zoomScale="85" zoomScaleNormal="85" workbookViewId="0">
      <selection activeCell="F3" sqref="F3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54.453125" style="31" customWidth="1"/>
    <col min="5" max="5" width="24.453125" style="31" customWidth="1"/>
    <col min="6" max="6" width="24.453125" style="32" customWidth="1"/>
    <col min="7" max="7" width="27.1796875" style="32" customWidth="1"/>
    <col min="8" max="8" width="25.81640625" style="32" customWidth="1"/>
    <col min="9" max="9" width="3.453125" style="31" customWidth="1"/>
    <col min="10" max="16384" width="10.54296875" style="31"/>
  </cols>
  <sheetData>
    <row r="2" spans="1:24" ht="22.95" customHeight="1">
      <c r="D2" s="318" t="str">
        <f>_GENERAL!D2</f>
        <v>Área de la Presidenta: Igualdad y Diversidad, Hacienda y Proyectos Estratégicos</v>
      </c>
      <c r="E2" s="318"/>
    </row>
    <row r="3" spans="1:24" ht="22.95" customHeight="1">
      <c r="D3" s="318" t="str">
        <f>_GENERAL!D3</f>
        <v>Dirección Insular de Hacienda</v>
      </c>
      <c r="E3" s="318"/>
    </row>
    <row r="4" spans="1:24" ht="22.95" customHeight="1" thickBot="1">
      <c r="A4" s="31" t="s">
        <v>129</v>
      </c>
    </row>
    <row r="5" spans="1:24" ht="9" customHeight="1">
      <c r="B5" s="33"/>
      <c r="C5" s="34"/>
      <c r="D5" s="34"/>
      <c r="E5" s="34"/>
      <c r="F5" s="35"/>
      <c r="G5" s="35"/>
      <c r="H5" s="35"/>
      <c r="I5" s="36"/>
      <c r="K5" s="700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2"/>
    </row>
    <row r="6" spans="1:24" ht="30" customHeight="1">
      <c r="B6" s="37"/>
      <c r="C6" s="28" t="s">
        <v>2</v>
      </c>
      <c r="H6" s="1138">
        <f>ejercicio</f>
        <v>2025</v>
      </c>
      <c r="I6" s="38"/>
      <c r="K6" s="163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6"/>
    </row>
    <row r="7" spans="1:24" ht="30" customHeight="1">
      <c r="B7" s="37"/>
      <c r="C7" s="28" t="s">
        <v>3</v>
      </c>
      <c r="H7" s="1138"/>
      <c r="I7" s="38"/>
      <c r="K7" s="167"/>
      <c r="L7" s="164" t="s">
        <v>130</v>
      </c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9"/>
    </row>
    <row r="8" spans="1:24" ht="30" customHeight="1">
      <c r="B8" s="37"/>
      <c r="C8" s="39"/>
      <c r="H8" s="40"/>
      <c r="I8" s="38"/>
      <c r="K8" s="736"/>
      <c r="L8" s="707"/>
      <c r="M8" s="707"/>
      <c r="N8" s="707"/>
      <c r="O8" s="707"/>
      <c r="P8" s="707"/>
      <c r="Q8" s="707"/>
      <c r="R8" s="707"/>
      <c r="S8" s="707"/>
      <c r="T8" s="707"/>
      <c r="U8" s="707"/>
      <c r="V8" s="707"/>
      <c r="W8" s="707"/>
      <c r="X8" s="737"/>
    </row>
    <row r="9" spans="1:24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825"/>
      <c r="J9" s="892"/>
      <c r="K9" s="736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37"/>
    </row>
    <row r="10" spans="1:24" ht="7.2" customHeight="1">
      <c r="B10" s="37"/>
      <c r="I10" s="38"/>
      <c r="K10" s="736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37"/>
    </row>
    <row r="11" spans="1:24" s="45" customFormat="1" ht="30" customHeight="1">
      <c r="B11" s="41"/>
      <c r="C11" s="42" t="s">
        <v>829</v>
      </c>
      <c r="D11" s="42"/>
      <c r="E11" s="42"/>
      <c r="F11" s="43"/>
      <c r="G11" s="43"/>
      <c r="H11" s="43"/>
      <c r="I11" s="44"/>
      <c r="K11" s="736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37"/>
    </row>
    <row r="12" spans="1:24" s="45" customFormat="1" ht="30" customHeight="1">
      <c r="B12" s="41"/>
      <c r="C12" s="1184"/>
      <c r="D12" s="1184"/>
      <c r="E12" s="571"/>
      <c r="F12" s="30"/>
      <c r="G12" s="30"/>
      <c r="H12" s="30"/>
      <c r="I12" s="44"/>
      <c r="K12" s="736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37"/>
    </row>
    <row r="13" spans="1:24" ht="28.95" customHeight="1">
      <c r="B13" s="46"/>
      <c r="C13" s="1310" t="s">
        <v>830</v>
      </c>
      <c r="D13" s="1311"/>
      <c r="E13" s="1311"/>
      <c r="F13" s="1311"/>
      <c r="G13" s="1311"/>
      <c r="H13" s="1312"/>
      <c r="I13" s="38"/>
      <c r="K13" s="736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37"/>
    </row>
    <row r="14" spans="1:24" ht="9" customHeight="1">
      <c r="B14" s="46"/>
      <c r="C14" s="571"/>
      <c r="D14" s="571"/>
      <c r="E14" s="571"/>
      <c r="F14" s="30"/>
      <c r="G14" s="30"/>
      <c r="H14" s="30"/>
      <c r="I14" s="38"/>
      <c r="K14" s="736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37"/>
    </row>
    <row r="15" spans="1:24" s="95" customFormat="1" ht="24" customHeight="1">
      <c r="A15" s="599"/>
      <c r="B15" s="805"/>
      <c r="C15" s="1207" t="s">
        <v>569</v>
      </c>
      <c r="D15" s="1209"/>
      <c r="E15" s="139" t="s">
        <v>831</v>
      </c>
      <c r="F15" s="130" t="s">
        <v>832</v>
      </c>
      <c r="G15" s="130" t="s">
        <v>833</v>
      </c>
      <c r="H15" s="118" t="s">
        <v>834</v>
      </c>
      <c r="I15" s="806"/>
      <c r="J15" s="599"/>
      <c r="K15" s="736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37"/>
    </row>
    <row r="16" spans="1:24" s="17" customFormat="1" ht="22.95" customHeight="1">
      <c r="B16" s="46"/>
      <c r="C16" s="1313" t="s">
        <v>835</v>
      </c>
      <c r="D16" s="1314"/>
      <c r="E16" s="794"/>
      <c r="F16" s="130"/>
      <c r="G16" s="130"/>
      <c r="H16" s="118"/>
      <c r="I16" s="47"/>
      <c r="K16" s="736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37"/>
    </row>
    <row r="17" spans="2:24" s="17" customFormat="1" ht="22.95" customHeight="1">
      <c r="B17" s="46"/>
      <c r="C17" s="807" t="s">
        <v>836</v>
      </c>
      <c r="D17" s="808"/>
      <c r="E17" s="809" t="s">
        <v>12</v>
      </c>
      <c r="F17" s="810"/>
      <c r="G17" s="811"/>
      <c r="H17" s="812"/>
      <c r="I17" s="813"/>
      <c r="K17" s="736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37"/>
    </row>
    <row r="18" spans="2:24" s="17" customFormat="1" ht="22.95" customHeight="1">
      <c r="B18" s="46"/>
      <c r="C18" s="814" t="s">
        <v>837</v>
      </c>
      <c r="D18" s="815"/>
      <c r="E18" s="809" t="s">
        <v>12</v>
      </c>
      <c r="F18" s="810"/>
      <c r="G18" s="816"/>
      <c r="H18" s="817"/>
      <c r="I18" s="813"/>
      <c r="K18" s="736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37"/>
    </row>
    <row r="19" spans="2:24" s="17" customFormat="1" ht="22.95" customHeight="1">
      <c r="B19" s="46"/>
      <c r="C19" s="818" t="s">
        <v>838</v>
      </c>
      <c r="D19" s="815"/>
      <c r="E19" s="809" t="s">
        <v>12</v>
      </c>
      <c r="F19" s="810"/>
      <c r="G19" s="816"/>
      <c r="H19" s="817"/>
      <c r="I19" s="47"/>
      <c r="K19" s="736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37"/>
    </row>
    <row r="20" spans="2:24" s="17" customFormat="1" ht="22.95" customHeight="1">
      <c r="B20" s="46"/>
      <c r="C20" s="818" t="s">
        <v>839</v>
      </c>
      <c r="D20" s="815"/>
      <c r="E20" s="809" t="s">
        <v>12</v>
      </c>
      <c r="F20" s="810"/>
      <c r="G20" s="816"/>
      <c r="H20" s="817"/>
      <c r="I20" s="47"/>
      <c r="K20" s="736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37"/>
    </row>
    <row r="21" spans="2:24" s="17" customFormat="1" ht="22.95" customHeight="1">
      <c r="B21" s="46"/>
      <c r="C21" s="819" t="s">
        <v>840</v>
      </c>
      <c r="D21" s="815"/>
      <c r="E21" s="809" t="s">
        <v>12</v>
      </c>
      <c r="F21" s="810"/>
      <c r="G21" s="816"/>
      <c r="H21" s="817"/>
      <c r="I21" s="47"/>
      <c r="K21" s="736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37"/>
    </row>
    <row r="22" spans="2:24" s="17" customFormat="1" ht="22.95" customHeight="1">
      <c r="B22" s="46"/>
      <c r="C22" s="819" t="s">
        <v>841</v>
      </c>
      <c r="D22" s="815"/>
      <c r="E22" s="809" t="s">
        <v>12</v>
      </c>
      <c r="F22" s="810"/>
      <c r="G22" s="816"/>
      <c r="H22" s="817"/>
      <c r="I22" s="47"/>
      <c r="K22" s="736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37"/>
    </row>
    <row r="23" spans="2:24" s="17" customFormat="1" ht="22.95" customHeight="1">
      <c r="B23" s="46"/>
      <c r="C23" s="819" t="s">
        <v>842</v>
      </c>
      <c r="D23" s="815"/>
      <c r="E23" s="809" t="s">
        <v>13</v>
      </c>
      <c r="F23" s="810"/>
      <c r="G23" s="816"/>
      <c r="H23" s="817"/>
      <c r="I23" s="47"/>
      <c r="K23" s="736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37"/>
    </row>
    <row r="24" spans="2:24" s="17" customFormat="1" ht="22.95" customHeight="1">
      <c r="B24" s="46"/>
      <c r="C24" s="819" t="s">
        <v>843</v>
      </c>
      <c r="D24" s="815"/>
      <c r="E24" s="809" t="s">
        <v>13</v>
      </c>
      <c r="F24" s="810"/>
      <c r="G24" s="816"/>
      <c r="H24" s="817"/>
      <c r="I24" s="47"/>
      <c r="K24" s="736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37"/>
    </row>
    <row r="25" spans="2:24" s="17" customFormat="1" ht="22.95" customHeight="1">
      <c r="B25" s="46"/>
      <c r="C25" s="819" t="s">
        <v>844</v>
      </c>
      <c r="D25" s="815"/>
      <c r="E25" s="809" t="s">
        <v>13</v>
      </c>
      <c r="F25" s="810"/>
      <c r="G25" s="816"/>
      <c r="H25" s="817"/>
      <c r="I25" s="47"/>
      <c r="K25" s="736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37"/>
    </row>
    <row r="26" spans="2:24" s="17" customFormat="1" ht="22.95" customHeight="1">
      <c r="B26" s="46"/>
      <c r="C26" s="819" t="s">
        <v>845</v>
      </c>
      <c r="D26" s="815"/>
      <c r="E26" s="809" t="s">
        <v>13</v>
      </c>
      <c r="F26" s="810"/>
      <c r="G26" s="816"/>
      <c r="H26" s="817"/>
      <c r="I26" s="47"/>
      <c r="K26" s="736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37"/>
    </row>
    <row r="27" spans="2:24" s="17" customFormat="1" ht="22.95" customHeight="1">
      <c r="B27" s="46"/>
      <c r="C27" s="819" t="s">
        <v>846</v>
      </c>
      <c r="D27" s="815"/>
      <c r="E27" s="809" t="s">
        <v>13</v>
      </c>
      <c r="F27" s="810"/>
      <c r="G27" s="816"/>
      <c r="H27" s="817"/>
      <c r="I27" s="47"/>
      <c r="K27" s="736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37"/>
    </row>
    <row r="28" spans="2:24" s="17" customFormat="1" ht="22.95" customHeight="1">
      <c r="B28" s="46"/>
      <c r="C28" s="819" t="s">
        <v>346</v>
      </c>
      <c r="D28" s="815"/>
      <c r="E28" s="809" t="s">
        <v>13</v>
      </c>
      <c r="F28" s="810" t="s">
        <v>847</v>
      </c>
      <c r="G28" s="816">
        <v>4808.1000000000004</v>
      </c>
      <c r="H28" s="817"/>
      <c r="I28" s="47"/>
      <c r="K28" s="736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37"/>
    </row>
    <row r="29" spans="2:24" s="17" customFormat="1" ht="22.95" customHeight="1">
      <c r="B29" s="46"/>
      <c r="C29" s="819" t="s">
        <v>848</v>
      </c>
      <c r="D29" s="815"/>
      <c r="E29" s="809" t="s">
        <v>12</v>
      </c>
      <c r="F29" s="810"/>
      <c r="G29" s="816"/>
      <c r="H29" s="817"/>
      <c r="I29" s="47"/>
      <c r="K29" s="736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37"/>
    </row>
    <row r="30" spans="2:24" s="17" customFormat="1" ht="22.95" customHeight="1">
      <c r="B30" s="46"/>
      <c r="C30" s="819" t="s">
        <v>849</v>
      </c>
      <c r="D30" s="815"/>
      <c r="E30" s="809" t="s">
        <v>12</v>
      </c>
      <c r="F30" s="810"/>
      <c r="G30" s="816"/>
      <c r="H30" s="817"/>
      <c r="I30" s="47"/>
      <c r="K30" s="736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37"/>
    </row>
    <row r="31" spans="2:24" s="17" customFormat="1" ht="22.95" customHeight="1">
      <c r="B31" s="46"/>
      <c r="C31" s="819" t="s">
        <v>850</v>
      </c>
      <c r="D31" s="815"/>
      <c r="E31" s="809" t="s">
        <v>12</v>
      </c>
      <c r="F31" s="810"/>
      <c r="G31" s="816"/>
      <c r="H31" s="817"/>
      <c r="I31" s="47"/>
      <c r="K31" s="736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37"/>
    </row>
    <row r="32" spans="2:24" s="17" customFormat="1" ht="22.95" customHeight="1">
      <c r="B32" s="46"/>
      <c r="C32" s="819" t="s">
        <v>851</v>
      </c>
      <c r="D32" s="815"/>
      <c r="E32" s="809" t="s">
        <v>12</v>
      </c>
      <c r="F32" s="810"/>
      <c r="G32" s="816"/>
      <c r="H32" s="817"/>
      <c r="I32" s="47"/>
      <c r="K32" s="736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37"/>
    </row>
    <row r="33" spans="2:24" s="17" customFormat="1" ht="22.95" customHeight="1">
      <c r="B33" s="46"/>
      <c r="C33" s="819" t="s">
        <v>852</v>
      </c>
      <c r="D33" s="815"/>
      <c r="E33" s="809" t="s">
        <v>12</v>
      </c>
      <c r="F33" s="810"/>
      <c r="G33" s="816"/>
      <c r="H33" s="817"/>
      <c r="I33" s="47"/>
      <c r="K33" s="736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37"/>
    </row>
    <row r="34" spans="2:24" s="17" customFormat="1" ht="22.95" customHeight="1">
      <c r="B34" s="46"/>
      <c r="C34" s="819" t="s">
        <v>853</v>
      </c>
      <c r="D34" s="815"/>
      <c r="E34" s="809" t="s">
        <v>12</v>
      </c>
      <c r="F34" s="810"/>
      <c r="G34" s="816"/>
      <c r="H34" s="817"/>
      <c r="I34" s="47"/>
      <c r="K34" s="736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37"/>
    </row>
    <row r="35" spans="2:24" s="17" customFormat="1" ht="22.95" customHeight="1">
      <c r="B35" s="46"/>
      <c r="C35" s="1313" t="s">
        <v>854</v>
      </c>
      <c r="D35" s="1314"/>
      <c r="E35" s="794"/>
      <c r="F35" s="820"/>
      <c r="G35" s="689"/>
      <c r="H35" s="690"/>
      <c r="I35" s="47"/>
      <c r="K35" s="736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37"/>
    </row>
    <row r="36" spans="2:24" s="17" customFormat="1" ht="22.95" customHeight="1">
      <c r="B36" s="46"/>
      <c r="C36" s="819" t="s">
        <v>855</v>
      </c>
      <c r="D36" s="815"/>
      <c r="E36" s="809" t="s">
        <v>13</v>
      </c>
      <c r="F36" s="810"/>
      <c r="G36" s="811"/>
      <c r="H36" s="812"/>
      <c r="I36" s="47"/>
      <c r="K36" s="736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37"/>
    </row>
    <row r="37" spans="2:24" s="17" customFormat="1" ht="22.95" customHeight="1">
      <c r="B37" s="46"/>
      <c r="C37" s="819" t="s">
        <v>856</v>
      </c>
      <c r="D37" s="815"/>
      <c r="E37" s="809" t="s">
        <v>13</v>
      </c>
      <c r="F37" s="810"/>
      <c r="G37" s="816"/>
      <c r="H37" s="817"/>
      <c r="I37" s="47"/>
      <c r="K37" s="736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37"/>
    </row>
    <row r="38" spans="2:24" s="17" customFormat="1" ht="22.95" customHeight="1">
      <c r="B38" s="46"/>
      <c r="C38" s="819" t="s">
        <v>857</v>
      </c>
      <c r="D38" s="815"/>
      <c r="E38" s="809" t="s">
        <v>12</v>
      </c>
      <c r="F38" s="810"/>
      <c r="G38" s="816"/>
      <c r="H38" s="817"/>
      <c r="I38" s="47"/>
      <c r="K38" s="736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37"/>
    </row>
    <row r="39" spans="2:24" s="17" customFormat="1" ht="22.95" customHeight="1">
      <c r="B39" s="46"/>
      <c r="C39" s="819" t="s">
        <v>858</v>
      </c>
      <c r="D39" s="815"/>
      <c r="E39" s="809" t="s">
        <v>13</v>
      </c>
      <c r="F39" s="810"/>
      <c r="G39" s="816"/>
      <c r="H39" s="817"/>
      <c r="I39" s="47"/>
      <c r="K39" s="736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37"/>
    </row>
    <row r="40" spans="2:24" s="17" customFormat="1" ht="22.95" customHeight="1">
      <c r="B40" s="46"/>
      <c r="C40" s="819" t="s">
        <v>859</v>
      </c>
      <c r="D40" s="815"/>
      <c r="E40" s="809" t="s">
        <v>12</v>
      </c>
      <c r="F40" s="810"/>
      <c r="G40" s="816"/>
      <c r="H40" s="817"/>
      <c r="I40" s="47"/>
      <c r="K40" s="736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37"/>
    </row>
    <row r="41" spans="2:24" s="17" customFormat="1" ht="22.95" customHeight="1">
      <c r="B41" s="46"/>
      <c r="C41" s="819" t="s">
        <v>860</v>
      </c>
      <c r="D41" s="815"/>
      <c r="E41" s="809" t="s">
        <v>13</v>
      </c>
      <c r="F41" s="810"/>
      <c r="G41" s="816"/>
      <c r="H41" s="817"/>
      <c r="I41" s="47"/>
      <c r="K41" s="736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37"/>
    </row>
    <row r="42" spans="2:24" s="17" customFormat="1" ht="22.95" customHeight="1">
      <c r="B42" s="46"/>
      <c r="C42" s="819" t="s">
        <v>861</v>
      </c>
      <c r="D42" s="815"/>
      <c r="E42" s="809" t="s">
        <v>12</v>
      </c>
      <c r="F42" s="810"/>
      <c r="G42" s="816"/>
      <c r="H42" s="817"/>
      <c r="I42" s="47"/>
      <c r="K42" s="736"/>
      <c r="L42" s="707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37"/>
    </row>
    <row r="43" spans="2:24" s="17" customFormat="1" ht="22.95" customHeight="1">
      <c r="B43" s="46"/>
      <c r="C43" s="819" t="s">
        <v>862</v>
      </c>
      <c r="D43" s="815"/>
      <c r="E43" s="809" t="s">
        <v>12</v>
      </c>
      <c r="F43" s="810" t="s">
        <v>863</v>
      </c>
      <c r="G43" s="816"/>
      <c r="H43" s="817">
        <v>256.8</v>
      </c>
      <c r="I43" s="47"/>
      <c r="K43" s="736"/>
      <c r="L43" s="707"/>
      <c r="M43" s="707"/>
      <c r="N43" s="707"/>
      <c r="O43" s="707"/>
      <c r="P43" s="707"/>
      <c r="Q43" s="707"/>
      <c r="R43" s="707"/>
      <c r="S43" s="707"/>
      <c r="T43" s="707"/>
      <c r="U43" s="707"/>
      <c r="V43" s="707"/>
      <c r="W43" s="707"/>
      <c r="X43" s="737"/>
    </row>
    <row r="44" spans="2:24" s="17" customFormat="1" ht="22.95" customHeight="1">
      <c r="B44" s="46"/>
      <c r="C44" s="821" t="s">
        <v>864</v>
      </c>
      <c r="D44" s="822"/>
      <c r="E44" s="823" t="s">
        <v>13</v>
      </c>
      <c r="F44" s="810"/>
      <c r="G44" s="816"/>
      <c r="H44" s="817"/>
      <c r="I44" s="47"/>
      <c r="K44" s="736"/>
      <c r="L44" s="707"/>
      <c r="M44" s="707"/>
      <c r="N44" s="707"/>
      <c r="O44" s="707"/>
      <c r="P44" s="707"/>
      <c r="Q44" s="707"/>
      <c r="R44" s="707"/>
      <c r="S44" s="707"/>
      <c r="T44" s="707"/>
      <c r="U44" s="707"/>
      <c r="V44" s="707"/>
      <c r="W44" s="707"/>
      <c r="X44" s="737"/>
    </row>
    <row r="45" spans="2:24" s="17" customFormat="1" ht="22.95" customHeight="1">
      <c r="B45" s="46"/>
      <c r="C45" s="819" t="s">
        <v>865</v>
      </c>
      <c r="D45" s="815"/>
      <c r="E45" s="809" t="s">
        <v>12</v>
      </c>
      <c r="F45" s="810"/>
      <c r="G45" s="816"/>
      <c r="H45" s="817"/>
      <c r="I45" s="47"/>
      <c r="K45" s="736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37"/>
    </row>
    <row r="46" spans="2:24" s="17" customFormat="1" ht="22.95" customHeight="1">
      <c r="B46" s="46"/>
      <c r="C46" s="819" t="s">
        <v>866</v>
      </c>
      <c r="D46" s="815"/>
      <c r="E46" s="809" t="s">
        <v>12</v>
      </c>
      <c r="F46" s="810"/>
      <c r="G46" s="816"/>
      <c r="H46" s="817"/>
      <c r="I46" s="47"/>
      <c r="K46" s="736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37"/>
    </row>
    <row r="47" spans="2:24" s="17" customFormat="1" ht="22.95" customHeight="1">
      <c r="B47" s="46"/>
      <c r="C47" s="1313" t="s">
        <v>867</v>
      </c>
      <c r="D47" s="1314"/>
      <c r="E47" s="794"/>
      <c r="F47" s="820"/>
      <c r="G47" s="689"/>
      <c r="H47" s="690"/>
      <c r="I47" s="47"/>
      <c r="K47" s="736"/>
      <c r="L47" s="707"/>
      <c r="M47" s="707"/>
      <c r="N47" s="707"/>
      <c r="O47" s="707"/>
      <c r="P47" s="707"/>
      <c r="Q47" s="707"/>
      <c r="R47" s="707"/>
      <c r="S47" s="707"/>
      <c r="T47" s="707"/>
      <c r="U47" s="707"/>
      <c r="V47" s="707"/>
      <c r="W47" s="707"/>
      <c r="X47" s="737"/>
    </row>
    <row r="48" spans="2:24" s="17" customFormat="1" ht="22.95" customHeight="1">
      <c r="B48" s="46"/>
      <c r="C48" s="819" t="s">
        <v>868</v>
      </c>
      <c r="D48" s="815"/>
      <c r="E48" s="809" t="s">
        <v>13</v>
      </c>
      <c r="F48" s="810"/>
      <c r="G48" s="816"/>
      <c r="H48" s="817"/>
      <c r="I48" s="47"/>
      <c r="K48" s="736"/>
      <c r="L48" s="707"/>
      <c r="M48" s="707"/>
      <c r="N48" s="707"/>
      <c r="O48" s="707"/>
      <c r="P48" s="707"/>
      <c r="Q48" s="707"/>
      <c r="R48" s="707"/>
      <c r="S48" s="707"/>
      <c r="T48" s="707"/>
      <c r="U48" s="707"/>
      <c r="V48" s="707"/>
      <c r="W48" s="707"/>
      <c r="X48" s="737"/>
    </row>
    <row r="49" spans="1:24" s="17" customFormat="1" ht="22.95" customHeight="1">
      <c r="B49" s="46"/>
      <c r="C49" s="819" t="s">
        <v>347</v>
      </c>
      <c r="D49" s="815"/>
      <c r="E49" s="809" t="s">
        <v>13</v>
      </c>
      <c r="F49" s="810" t="s">
        <v>847</v>
      </c>
      <c r="G49" s="816">
        <v>4808.1000000000004</v>
      </c>
      <c r="H49" s="817"/>
      <c r="I49" s="47"/>
      <c r="K49" s="736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37"/>
    </row>
    <row r="50" spans="1:24" s="17" customFormat="1" ht="22.95" customHeight="1">
      <c r="B50" s="46"/>
      <c r="C50" s="819" t="s">
        <v>869</v>
      </c>
      <c r="D50" s="815"/>
      <c r="E50" s="809" t="s">
        <v>13</v>
      </c>
      <c r="F50" s="810"/>
      <c r="G50" s="816"/>
      <c r="H50" s="817"/>
      <c r="I50" s="47"/>
      <c r="K50" s="736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37"/>
    </row>
    <row r="51" spans="1:24" s="17" customFormat="1" ht="22.95" customHeight="1">
      <c r="B51" s="46"/>
      <c r="C51" s="819" t="s">
        <v>870</v>
      </c>
      <c r="D51" s="815"/>
      <c r="E51" s="809" t="s">
        <v>13</v>
      </c>
      <c r="F51" s="810"/>
      <c r="G51" s="816"/>
      <c r="H51" s="817"/>
      <c r="I51" s="47"/>
      <c r="K51" s="736"/>
      <c r="L51" s="707"/>
      <c r="M51" s="707"/>
      <c r="N51" s="707"/>
      <c r="O51" s="707"/>
      <c r="P51" s="707"/>
      <c r="Q51" s="707"/>
      <c r="R51" s="707"/>
      <c r="S51" s="707"/>
      <c r="T51" s="707"/>
      <c r="U51" s="707"/>
      <c r="V51" s="707"/>
      <c r="W51" s="707"/>
      <c r="X51" s="737"/>
    </row>
    <row r="52" spans="1:24" s="17" customFormat="1" ht="22.95" customHeight="1">
      <c r="B52" s="46"/>
      <c r="C52" s="819" t="s">
        <v>871</v>
      </c>
      <c r="D52" s="815"/>
      <c r="E52" s="809" t="s">
        <v>12</v>
      </c>
      <c r="F52" s="810"/>
      <c r="G52" s="816"/>
      <c r="H52" s="817"/>
      <c r="I52" s="47"/>
      <c r="K52" s="736"/>
      <c r="L52" s="707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07"/>
      <c r="X52" s="737"/>
    </row>
    <row r="53" spans="1:24" s="17" customFormat="1" ht="22.95" customHeight="1">
      <c r="B53" s="46"/>
      <c r="C53" s="819" t="s">
        <v>872</v>
      </c>
      <c r="D53" s="815"/>
      <c r="E53" s="809" t="s">
        <v>12</v>
      </c>
      <c r="F53" s="810"/>
      <c r="G53" s="816"/>
      <c r="H53" s="817"/>
      <c r="I53" s="47"/>
      <c r="K53" s="736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37"/>
    </row>
    <row r="54" spans="1:24" s="17" customFormat="1" ht="22.95" customHeight="1">
      <c r="B54" s="46"/>
      <c r="C54" s="819" t="s">
        <v>873</v>
      </c>
      <c r="D54" s="815"/>
      <c r="E54" s="809" t="s">
        <v>12</v>
      </c>
      <c r="F54" s="810"/>
      <c r="G54" s="816"/>
      <c r="H54" s="817"/>
      <c r="I54" s="47"/>
      <c r="K54" s="736"/>
      <c r="L54" s="707"/>
      <c r="M54" s="707"/>
      <c r="N54" s="707"/>
      <c r="O54" s="707"/>
      <c r="P54" s="707"/>
      <c r="Q54" s="707"/>
      <c r="R54" s="707"/>
      <c r="S54" s="707"/>
      <c r="T54" s="707"/>
      <c r="U54" s="707"/>
      <c r="V54" s="707"/>
      <c r="W54" s="707"/>
      <c r="X54" s="737"/>
    </row>
    <row r="55" spans="1:24" s="77" customFormat="1" ht="22.95" customHeight="1">
      <c r="A55" s="892"/>
      <c r="B55" s="46"/>
      <c r="C55" s="819" t="s">
        <v>874</v>
      </c>
      <c r="D55" s="815"/>
      <c r="E55" s="809" t="s">
        <v>12</v>
      </c>
      <c r="F55" s="810"/>
      <c r="G55" s="816"/>
      <c r="H55" s="817"/>
      <c r="I55" s="47"/>
      <c r="J55" s="892"/>
      <c r="K55" s="736"/>
      <c r="L55" s="707"/>
      <c r="M55" s="707"/>
      <c r="N55" s="707"/>
      <c r="O55" s="707"/>
      <c r="P55" s="707"/>
      <c r="Q55" s="707"/>
      <c r="R55" s="707"/>
      <c r="S55" s="707"/>
      <c r="T55" s="707"/>
      <c r="U55" s="707"/>
      <c r="V55" s="707"/>
      <c r="W55" s="707"/>
      <c r="X55" s="737"/>
    </row>
    <row r="56" spans="1:24" ht="22.95" customHeight="1" thickBot="1">
      <c r="B56" s="824"/>
      <c r="C56" s="1264"/>
      <c r="D56" s="1266"/>
      <c r="E56" s="793"/>
      <c r="F56" s="97" t="s">
        <v>714</v>
      </c>
      <c r="G56" s="69">
        <f>SUM(G17:G55)</f>
        <v>9616.2000000000007</v>
      </c>
      <c r="H56" s="69">
        <f>SUM(H17:H55)</f>
        <v>256.8</v>
      </c>
      <c r="I56" s="825"/>
      <c r="K56" s="736"/>
      <c r="L56" s="707"/>
      <c r="M56" s="707"/>
      <c r="N56" s="707"/>
      <c r="O56" s="707"/>
      <c r="P56" s="707"/>
      <c r="Q56" s="707"/>
      <c r="R56" s="707"/>
      <c r="S56" s="707"/>
      <c r="T56" s="707"/>
      <c r="U56" s="707"/>
      <c r="V56" s="707"/>
      <c r="W56" s="707"/>
      <c r="X56" s="737"/>
    </row>
    <row r="57" spans="1:24" ht="22.95" customHeight="1">
      <c r="B57" s="46"/>
      <c r="C57" s="599"/>
      <c r="D57" s="599"/>
      <c r="E57" s="599"/>
      <c r="F57" s="96"/>
      <c r="G57" s="96"/>
      <c r="H57" s="30"/>
      <c r="I57" s="38"/>
      <c r="K57" s="736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37"/>
    </row>
    <row r="58" spans="1:24" ht="22.95" customHeight="1">
      <c r="B58" s="46"/>
      <c r="C58" s="1310" t="s">
        <v>875</v>
      </c>
      <c r="D58" s="1311"/>
      <c r="E58" s="1311"/>
      <c r="F58" s="1311"/>
      <c r="G58" s="1311"/>
      <c r="H58" s="1312"/>
      <c r="I58" s="38"/>
      <c r="K58" s="736"/>
      <c r="L58" s="707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37"/>
    </row>
    <row r="59" spans="1:24" ht="22.95" customHeight="1">
      <c r="B59" s="46"/>
      <c r="C59" s="17"/>
      <c r="D59" s="17"/>
      <c r="E59" s="17"/>
      <c r="F59" s="17"/>
      <c r="G59" s="17"/>
      <c r="H59" s="17"/>
      <c r="I59" s="38"/>
      <c r="K59" s="736"/>
      <c r="L59" s="707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37"/>
    </row>
    <row r="60" spans="1:24" ht="22.95" customHeight="1">
      <c r="B60" s="46"/>
      <c r="C60" s="1207" t="s">
        <v>569</v>
      </c>
      <c r="D60" s="1209"/>
      <c r="E60" s="139" t="s">
        <v>831</v>
      </c>
      <c r="F60" s="130" t="s">
        <v>832</v>
      </c>
      <c r="G60" s="130" t="s">
        <v>876</v>
      </c>
      <c r="H60" s="118" t="s">
        <v>877</v>
      </c>
      <c r="I60" s="38"/>
      <c r="K60" s="736"/>
      <c r="L60" s="707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37"/>
    </row>
    <row r="61" spans="1:24" ht="22.95" customHeight="1">
      <c r="B61" s="46"/>
      <c r="C61" s="1313" t="s">
        <v>835</v>
      </c>
      <c r="D61" s="1314"/>
      <c r="E61" s="794"/>
      <c r="F61" s="130"/>
      <c r="G61" s="130"/>
      <c r="H61" s="118"/>
      <c r="I61" s="38"/>
      <c r="K61" s="736"/>
      <c r="L61" s="707"/>
      <c r="M61" s="707"/>
      <c r="N61" s="707"/>
      <c r="O61" s="707"/>
      <c r="P61" s="707"/>
      <c r="Q61" s="707"/>
      <c r="R61" s="707"/>
      <c r="S61" s="707"/>
      <c r="T61" s="707"/>
      <c r="U61" s="707"/>
      <c r="V61" s="707"/>
      <c r="W61" s="707"/>
      <c r="X61" s="737"/>
    </row>
    <row r="62" spans="1:24" ht="22.95" customHeight="1">
      <c r="B62" s="46"/>
      <c r="C62" s="826" t="s">
        <v>836</v>
      </c>
      <c r="D62" s="827"/>
      <c r="E62" s="828" t="s">
        <v>12</v>
      </c>
      <c r="F62" s="810"/>
      <c r="G62" s="816"/>
      <c r="H62" s="817"/>
      <c r="I62" s="314"/>
      <c r="K62" s="736"/>
      <c r="L62" s="707"/>
      <c r="M62" s="707"/>
      <c r="N62" s="707"/>
      <c r="O62" s="707"/>
      <c r="P62" s="707"/>
      <c r="Q62" s="707"/>
      <c r="R62" s="707"/>
      <c r="S62" s="707"/>
      <c r="T62" s="707"/>
      <c r="U62" s="707"/>
      <c r="V62" s="707"/>
      <c r="W62" s="707"/>
      <c r="X62" s="737"/>
    </row>
    <row r="63" spans="1:24" ht="22.95" customHeight="1">
      <c r="B63" s="46"/>
      <c r="C63" s="829" t="s">
        <v>837</v>
      </c>
      <c r="D63" s="830"/>
      <c r="E63" s="828" t="s">
        <v>12</v>
      </c>
      <c r="F63" s="810"/>
      <c r="G63" s="816"/>
      <c r="H63" s="817"/>
      <c r="I63" s="314"/>
      <c r="K63" s="736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37"/>
    </row>
    <row r="64" spans="1:24" ht="22.95" customHeight="1">
      <c r="B64" s="46"/>
      <c r="C64" s="829" t="s">
        <v>838</v>
      </c>
      <c r="D64" s="830"/>
      <c r="E64" s="828" t="s">
        <v>12</v>
      </c>
      <c r="F64" s="810"/>
      <c r="G64" s="816"/>
      <c r="H64" s="817"/>
      <c r="I64" s="314"/>
      <c r="K64" s="736"/>
      <c r="L64" s="707"/>
      <c r="M64" s="707"/>
      <c r="N64" s="707"/>
      <c r="O64" s="707"/>
      <c r="P64" s="707"/>
      <c r="Q64" s="707"/>
      <c r="R64" s="707"/>
      <c r="S64" s="707"/>
      <c r="T64" s="707"/>
      <c r="U64" s="707"/>
      <c r="V64" s="707"/>
      <c r="W64" s="707"/>
      <c r="X64" s="737"/>
    </row>
    <row r="65" spans="2:24" ht="22.95" customHeight="1">
      <c r="B65" s="46"/>
      <c r="C65" s="829" t="s">
        <v>839</v>
      </c>
      <c r="D65" s="830"/>
      <c r="E65" s="828" t="s">
        <v>12</v>
      </c>
      <c r="F65" s="810"/>
      <c r="G65" s="816"/>
      <c r="H65" s="817"/>
      <c r="I65" s="314"/>
      <c r="K65" s="736"/>
      <c r="L65" s="707"/>
      <c r="M65" s="707"/>
      <c r="N65" s="707"/>
      <c r="O65" s="707"/>
      <c r="P65" s="707"/>
      <c r="Q65" s="707"/>
      <c r="R65" s="707"/>
      <c r="S65" s="707"/>
      <c r="T65" s="707"/>
      <c r="U65" s="707"/>
      <c r="V65" s="707"/>
      <c r="W65" s="707"/>
      <c r="X65" s="737"/>
    </row>
    <row r="66" spans="2:24" ht="22.95" customHeight="1">
      <c r="B66" s="46"/>
      <c r="C66" s="829" t="s">
        <v>840</v>
      </c>
      <c r="D66" s="830"/>
      <c r="E66" s="828" t="s">
        <v>12</v>
      </c>
      <c r="F66" s="810"/>
      <c r="G66" s="816"/>
      <c r="H66" s="817"/>
      <c r="I66" s="314"/>
      <c r="K66" s="736"/>
      <c r="L66" s="707"/>
      <c r="M66" s="707"/>
      <c r="N66" s="707"/>
      <c r="O66" s="707"/>
      <c r="P66" s="707"/>
      <c r="Q66" s="707"/>
      <c r="R66" s="707"/>
      <c r="S66" s="707"/>
      <c r="T66" s="707"/>
      <c r="U66" s="707"/>
      <c r="V66" s="707"/>
      <c r="W66" s="707"/>
      <c r="X66" s="737"/>
    </row>
    <row r="67" spans="2:24" ht="22.95" customHeight="1">
      <c r="B67" s="46"/>
      <c r="C67" s="829" t="s">
        <v>841</v>
      </c>
      <c r="D67" s="830"/>
      <c r="E67" s="828" t="s">
        <v>12</v>
      </c>
      <c r="F67" s="810"/>
      <c r="G67" s="816"/>
      <c r="H67" s="817"/>
      <c r="I67" s="314"/>
      <c r="K67" s="736"/>
      <c r="L67" s="707"/>
      <c r="M67" s="707"/>
      <c r="N67" s="707"/>
      <c r="O67" s="707"/>
      <c r="P67" s="707"/>
      <c r="Q67" s="707"/>
      <c r="R67" s="707"/>
      <c r="S67" s="707"/>
      <c r="T67" s="707"/>
      <c r="U67" s="707"/>
      <c r="V67" s="707"/>
      <c r="W67" s="707"/>
      <c r="X67" s="737"/>
    </row>
    <row r="68" spans="2:24" ht="22.95" customHeight="1">
      <c r="B68" s="46"/>
      <c r="C68" s="829" t="s">
        <v>842</v>
      </c>
      <c r="D68" s="830"/>
      <c r="E68" s="828" t="s">
        <v>13</v>
      </c>
      <c r="F68" s="810"/>
      <c r="G68" s="816"/>
      <c r="H68" s="817"/>
      <c r="I68" s="314"/>
      <c r="K68" s="736"/>
      <c r="L68" s="707"/>
      <c r="M68" s="707"/>
      <c r="N68" s="707"/>
      <c r="O68" s="707"/>
      <c r="P68" s="707"/>
      <c r="Q68" s="707"/>
      <c r="R68" s="707"/>
      <c r="S68" s="707"/>
      <c r="T68" s="707"/>
      <c r="U68" s="707"/>
      <c r="V68" s="707"/>
      <c r="W68" s="707"/>
      <c r="X68" s="737"/>
    </row>
    <row r="69" spans="2:24" ht="22.95" customHeight="1">
      <c r="B69" s="46"/>
      <c r="C69" s="829" t="s">
        <v>843</v>
      </c>
      <c r="D69" s="830"/>
      <c r="E69" s="828" t="s">
        <v>13</v>
      </c>
      <c r="F69" s="810"/>
      <c r="G69" s="816"/>
      <c r="H69" s="817"/>
      <c r="I69" s="314"/>
      <c r="K69" s="736"/>
      <c r="L69" s="707"/>
      <c r="M69" s="707"/>
      <c r="N69" s="707"/>
      <c r="O69" s="707"/>
      <c r="P69" s="707"/>
      <c r="Q69" s="707"/>
      <c r="R69" s="707"/>
      <c r="S69" s="707"/>
      <c r="T69" s="707"/>
      <c r="U69" s="707"/>
      <c r="V69" s="707"/>
      <c r="W69" s="707"/>
      <c r="X69" s="737"/>
    </row>
    <row r="70" spans="2:24" ht="22.95" customHeight="1">
      <c r="B70" s="46"/>
      <c r="C70" s="829" t="s">
        <v>844</v>
      </c>
      <c r="D70" s="830"/>
      <c r="E70" s="828" t="s">
        <v>13</v>
      </c>
      <c r="F70" s="810"/>
      <c r="G70" s="816"/>
      <c r="H70" s="817"/>
      <c r="I70" s="314"/>
      <c r="K70" s="736"/>
      <c r="L70" s="707"/>
      <c r="M70" s="707"/>
      <c r="N70" s="707"/>
      <c r="O70" s="707"/>
      <c r="P70" s="707"/>
      <c r="Q70" s="707"/>
      <c r="R70" s="707"/>
      <c r="S70" s="707"/>
      <c r="T70" s="707"/>
      <c r="U70" s="707"/>
      <c r="V70" s="707"/>
      <c r="W70" s="707"/>
      <c r="X70" s="737"/>
    </row>
    <row r="71" spans="2:24" ht="22.95" customHeight="1">
      <c r="B71" s="46"/>
      <c r="C71" s="829" t="s">
        <v>845</v>
      </c>
      <c r="D71" s="830"/>
      <c r="E71" s="828" t="s">
        <v>13</v>
      </c>
      <c r="F71" s="810"/>
      <c r="G71" s="816"/>
      <c r="H71" s="817"/>
      <c r="I71" s="314"/>
      <c r="K71" s="736"/>
      <c r="L71" s="707"/>
      <c r="M71" s="707"/>
      <c r="N71" s="707"/>
      <c r="O71" s="707"/>
      <c r="P71" s="707"/>
      <c r="Q71" s="707"/>
      <c r="R71" s="707"/>
      <c r="S71" s="707"/>
      <c r="T71" s="707"/>
      <c r="U71" s="707"/>
      <c r="V71" s="707"/>
      <c r="W71" s="707"/>
      <c r="X71" s="737"/>
    </row>
    <row r="72" spans="2:24" ht="22.95" customHeight="1">
      <c r="B72" s="46"/>
      <c r="C72" s="831" t="s">
        <v>846</v>
      </c>
      <c r="D72" s="832"/>
      <c r="E72" s="833" t="s">
        <v>13</v>
      </c>
      <c r="F72" s="810"/>
      <c r="G72" s="816"/>
      <c r="H72" s="817"/>
      <c r="I72" s="314"/>
      <c r="K72" s="736"/>
      <c r="L72" s="707"/>
      <c r="M72" s="707"/>
      <c r="N72" s="707"/>
      <c r="O72" s="707"/>
      <c r="P72" s="707"/>
      <c r="Q72" s="707"/>
      <c r="R72" s="707"/>
      <c r="S72" s="707"/>
      <c r="T72" s="707"/>
      <c r="U72" s="707"/>
      <c r="V72" s="707"/>
      <c r="W72" s="707"/>
      <c r="X72" s="737"/>
    </row>
    <row r="73" spans="2:24" ht="22.95" customHeight="1">
      <c r="B73" s="46"/>
      <c r="C73" s="831" t="s">
        <v>346</v>
      </c>
      <c r="D73" s="832"/>
      <c r="E73" s="833" t="s">
        <v>13</v>
      </c>
      <c r="F73" s="810"/>
      <c r="G73" s="816"/>
      <c r="H73" s="817"/>
      <c r="I73" s="314"/>
      <c r="K73" s="736"/>
      <c r="L73" s="707"/>
      <c r="M73" s="707"/>
      <c r="N73" s="707"/>
      <c r="O73" s="707"/>
      <c r="P73" s="707"/>
      <c r="Q73" s="707"/>
      <c r="R73" s="707"/>
      <c r="S73" s="707"/>
      <c r="T73" s="707"/>
      <c r="U73" s="707"/>
      <c r="V73" s="707"/>
      <c r="W73" s="707"/>
      <c r="X73" s="737"/>
    </row>
    <row r="74" spans="2:24" ht="22.95" customHeight="1">
      <c r="B74" s="46"/>
      <c r="C74" s="831" t="s">
        <v>848</v>
      </c>
      <c r="D74" s="832"/>
      <c r="E74" s="809" t="s">
        <v>12</v>
      </c>
      <c r="F74" s="810"/>
      <c r="G74" s="816"/>
      <c r="H74" s="817"/>
      <c r="I74" s="38"/>
      <c r="K74" s="736"/>
      <c r="L74" s="707"/>
      <c r="M74" s="707"/>
      <c r="N74" s="707"/>
      <c r="O74" s="707"/>
      <c r="P74" s="707"/>
      <c r="Q74" s="707"/>
      <c r="R74" s="707"/>
      <c r="S74" s="707"/>
      <c r="T74" s="707"/>
      <c r="U74" s="707"/>
      <c r="V74" s="707"/>
      <c r="W74" s="707"/>
      <c r="X74" s="737"/>
    </row>
    <row r="75" spans="2:24" ht="22.95" customHeight="1">
      <c r="B75" s="46"/>
      <c r="C75" s="831" t="s">
        <v>849</v>
      </c>
      <c r="D75" s="832"/>
      <c r="E75" s="809" t="s">
        <v>12</v>
      </c>
      <c r="F75" s="810"/>
      <c r="G75" s="816"/>
      <c r="H75" s="817"/>
      <c r="I75" s="38"/>
      <c r="K75" s="736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37"/>
    </row>
    <row r="76" spans="2:24" ht="22.95" customHeight="1">
      <c r="B76" s="46"/>
      <c r="C76" s="831" t="s">
        <v>850</v>
      </c>
      <c r="D76" s="832"/>
      <c r="E76" s="809" t="s">
        <v>12</v>
      </c>
      <c r="F76" s="810"/>
      <c r="G76" s="816"/>
      <c r="H76" s="817"/>
      <c r="I76" s="38"/>
      <c r="K76" s="736"/>
      <c r="L76" s="707"/>
      <c r="M76" s="707"/>
      <c r="N76" s="707"/>
      <c r="O76" s="707"/>
      <c r="P76" s="707"/>
      <c r="Q76" s="707"/>
      <c r="R76" s="707"/>
      <c r="S76" s="707"/>
      <c r="T76" s="707"/>
      <c r="U76" s="707"/>
      <c r="V76" s="707"/>
      <c r="W76" s="707"/>
      <c r="X76" s="737"/>
    </row>
    <row r="77" spans="2:24" ht="22.95" customHeight="1">
      <c r="B77" s="46"/>
      <c r="C77" s="834" t="s">
        <v>851</v>
      </c>
      <c r="D77" s="835"/>
      <c r="E77" s="809" t="s">
        <v>12</v>
      </c>
      <c r="F77" s="810"/>
      <c r="G77" s="816"/>
      <c r="H77" s="817"/>
      <c r="I77" s="38"/>
      <c r="K77" s="736"/>
      <c r="L77" s="707"/>
      <c r="M77" s="707"/>
      <c r="N77" s="707"/>
      <c r="O77" s="707"/>
      <c r="P77" s="707"/>
      <c r="Q77" s="707"/>
      <c r="R77" s="707"/>
      <c r="S77" s="707"/>
      <c r="T77" s="707"/>
      <c r="U77" s="707"/>
      <c r="V77" s="707"/>
      <c r="W77" s="707"/>
      <c r="X77" s="737"/>
    </row>
    <row r="78" spans="2:24" ht="22.95" customHeight="1">
      <c r="B78" s="46"/>
      <c r="C78" s="819" t="s">
        <v>852</v>
      </c>
      <c r="D78" s="815"/>
      <c r="E78" s="809" t="s">
        <v>12</v>
      </c>
      <c r="F78" s="810"/>
      <c r="G78" s="816"/>
      <c r="H78" s="817"/>
      <c r="I78" s="38"/>
      <c r="K78" s="736"/>
      <c r="L78" s="707"/>
      <c r="M78" s="707"/>
      <c r="N78" s="707"/>
      <c r="O78" s="707"/>
      <c r="P78" s="707"/>
      <c r="Q78" s="707"/>
      <c r="R78" s="707"/>
      <c r="S78" s="707"/>
      <c r="T78" s="707"/>
      <c r="U78" s="707"/>
      <c r="V78" s="707"/>
      <c r="W78" s="707"/>
      <c r="X78" s="737"/>
    </row>
    <row r="79" spans="2:24" ht="22.95" customHeight="1">
      <c r="B79" s="46"/>
      <c r="C79" s="819" t="s">
        <v>853</v>
      </c>
      <c r="D79" s="815"/>
      <c r="E79" s="809" t="s">
        <v>12</v>
      </c>
      <c r="F79" s="810"/>
      <c r="G79" s="816"/>
      <c r="H79" s="817"/>
      <c r="I79" s="38"/>
      <c r="K79" s="736"/>
      <c r="L79" s="707"/>
      <c r="M79" s="707"/>
      <c r="N79" s="707"/>
      <c r="O79" s="707"/>
      <c r="P79" s="707"/>
      <c r="Q79" s="707"/>
      <c r="R79" s="707"/>
      <c r="S79" s="707"/>
      <c r="T79" s="707"/>
      <c r="U79" s="707"/>
      <c r="V79" s="707"/>
      <c r="W79" s="707"/>
      <c r="X79" s="737"/>
    </row>
    <row r="80" spans="2:24" ht="22.95" customHeight="1">
      <c r="B80" s="46"/>
      <c r="C80" s="1313" t="s">
        <v>854</v>
      </c>
      <c r="D80" s="1314"/>
      <c r="E80" s="794"/>
      <c r="F80" s="836"/>
      <c r="G80" s="689"/>
      <c r="H80" s="690"/>
      <c r="I80" s="38"/>
      <c r="K80" s="736"/>
      <c r="L80" s="707"/>
      <c r="M80" s="707"/>
      <c r="N80" s="707"/>
      <c r="O80" s="707"/>
      <c r="P80" s="707"/>
      <c r="Q80" s="707"/>
      <c r="R80" s="707"/>
      <c r="S80" s="707"/>
      <c r="T80" s="707"/>
      <c r="U80" s="707"/>
      <c r="V80" s="707"/>
      <c r="W80" s="707"/>
      <c r="X80" s="737"/>
    </row>
    <row r="81" spans="1:24" ht="22.95" customHeight="1">
      <c r="B81" s="46"/>
      <c r="C81" s="837" t="s">
        <v>855</v>
      </c>
      <c r="D81" s="838"/>
      <c r="E81" s="809" t="s">
        <v>13</v>
      </c>
      <c r="F81" s="810"/>
      <c r="G81" s="816"/>
      <c r="H81" s="817"/>
      <c r="I81" s="314"/>
      <c r="K81" s="736"/>
      <c r="L81" s="707"/>
      <c r="M81" s="707"/>
      <c r="N81" s="707"/>
      <c r="O81" s="707"/>
      <c r="P81" s="707"/>
      <c r="Q81" s="707"/>
      <c r="R81" s="707"/>
      <c r="S81" s="707"/>
      <c r="T81" s="707"/>
      <c r="U81" s="707"/>
      <c r="V81" s="707"/>
      <c r="W81" s="707"/>
      <c r="X81" s="737"/>
    </row>
    <row r="82" spans="1:24" ht="22.95" customHeight="1">
      <c r="B82" s="46"/>
      <c r="C82" s="837" t="s">
        <v>856</v>
      </c>
      <c r="D82" s="838"/>
      <c r="E82" s="809" t="s">
        <v>13</v>
      </c>
      <c r="F82" s="810"/>
      <c r="G82" s="816"/>
      <c r="H82" s="817"/>
      <c r="I82" s="314"/>
      <c r="K82" s="736"/>
      <c r="L82" s="707"/>
      <c r="M82" s="707"/>
      <c r="N82" s="707"/>
      <c r="O82" s="707"/>
      <c r="P82" s="707"/>
      <c r="Q82" s="707"/>
      <c r="R82" s="707"/>
      <c r="S82" s="707"/>
      <c r="T82" s="707"/>
      <c r="U82" s="707"/>
      <c r="V82" s="707"/>
      <c r="W82" s="707"/>
      <c r="X82" s="737"/>
    </row>
    <row r="83" spans="1:24" ht="22.95" customHeight="1">
      <c r="B83" s="46"/>
      <c r="C83" s="837" t="s">
        <v>857</v>
      </c>
      <c r="D83" s="838"/>
      <c r="E83" s="809" t="s">
        <v>12</v>
      </c>
      <c r="F83" s="810"/>
      <c r="G83" s="816"/>
      <c r="H83" s="817"/>
      <c r="I83" s="314"/>
      <c r="K83" s="736"/>
      <c r="L83" s="707"/>
      <c r="M83" s="707"/>
      <c r="N83" s="707"/>
      <c r="O83" s="707"/>
      <c r="P83" s="707"/>
      <c r="Q83" s="707"/>
      <c r="R83" s="707"/>
      <c r="S83" s="707"/>
      <c r="T83" s="707"/>
      <c r="U83" s="707"/>
      <c r="V83" s="707"/>
      <c r="W83" s="707"/>
      <c r="X83" s="737"/>
    </row>
    <row r="84" spans="1:24" ht="22.95" customHeight="1">
      <c r="B84" s="46"/>
      <c r="C84" s="837" t="s">
        <v>858</v>
      </c>
      <c r="D84" s="838"/>
      <c r="E84" s="809" t="s">
        <v>13</v>
      </c>
      <c r="F84" s="810"/>
      <c r="G84" s="816"/>
      <c r="H84" s="817"/>
      <c r="I84" s="314"/>
      <c r="K84" s="736"/>
      <c r="L84" s="707"/>
      <c r="M84" s="707"/>
      <c r="N84" s="707"/>
      <c r="O84" s="707"/>
      <c r="P84" s="707"/>
      <c r="Q84" s="707"/>
      <c r="R84" s="707"/>
      <c r="S84" s="707"/>
      <c r="T84" s="707"/>
      <c r="U84" s="707"/>
      <c r="V84" s="707"/>
      <c r="W84" s="707"/>
      <c r="X84" s="737"/>
    </row>
    <row r="85" spans="1:24" ht="22.95" customHeight="1">
      <c r="B85" s="46"/>
      <c r="C85" s="819" t="s">
        <v>859</v>
      </c>
      <c r="D85" s="815"/>
      <c r="E85" s="809" t="s">
        <v>12</v>
      </c>
      <c r="F85" s="810"/>
      <c r="G85" s="816"/>
      <c r="H85" s="817"/>
      <c r="I85" s="38"/>
      <c r="K85" s="736"/>
      <c r="L85" s="707"/>
      <c r="M85" s="707"/>
      <c r="N85" s="707"/>
      <c r="O85" s="707"/>
      <c r="P85" s="707"/>
      <c r="Q85" s="707"/>
      <c r="R85" s="707"/>
      <c r="S85" s="707"/>
      <c r="T85" s="707"/>
      <c r="U85" s="707"/>
      <c r="V85" s="707"/>
      <c r="W85" s="707"/>
      <c r="X85" s="737"/>
    </row>
    <row r="86" spans="1:24" ht="22.95" customHeight="1">
      <c r="B86" s="46"/>
      <c r="C86" s="819" t="s">
        <v>860</v>
      </c>
      <c r="D86" s="815"/>
      <c r="E86" s="809" t="s">
        <v>13</v>
      </c>
      <c r="F86" s="810"/>
      <c r="G86" s="816"/>
      <c r="H86" s="817"/>
      <c r="I86" s="38"/>
      <c r="K86" s="736"/>
      <c r="L86" s="707"/>
      <c r="M86" s="707"/>
      <c r="N86" s="707"/>
      <c r="O86" s="707"/>
      <c r="P86" s="707"/>
      <c r="Q86" s="707"/>
      <c r="R86" s="707"/>
      <c r="S86" s="707"/>
      <c r="T86" s="707"/>
      <c r="U86" s="707"/>
      <c r="V86" s="707"/>
      <c r="W86" s="707"/>
      <c r="X86" s="737"/>
    </row>
    <row r="87" spans="1:24" ht="22.95" customHeight="1">
      <c r="B87" s="46"/>
      <c r="C87" s="819" t="s">
        <v>861</v>
      </c>
      <c r="D87" s="815"/>
      <c r="E87" s="809" t="s">
        <v>12</v>
      </c>
      <c r="F87" s="810"/>
      <c r="G87" s="816"/>
      <c r="H87" s="817"/>
      <c r="I87" s="38"/>
      <c r="K87" s="736"/>
      <c r="L87" s="707"/>
      <c r="M87" s="707"/>
      <c r="N87" s="707"/>
      <c r="O87" s="707"/>
      <c r="P87" s="707"/>
      <c r="Q87" s="707"/>
      <c r="R87" s="707"/>
      <c r="S87" s="707"/>
      <c r="T87" s="707"/>
      <c r="U87" s="707"/>
      <c r="V87" s="707"/>
      <c r="W87" s="707"/>
      <c r="X87" s="737"/>
    </row>
    <row r="88" spans="1:24" ht="22.95" customHeight="1">
      <c r="B88" s="46"/>
      <c r="C88" s="819" t="s">
        <v>862</v>
      </c>
      <c r="D88" s="815"/>
      <c r="E88" s="809" t="s">
        <v>12</v>
      </c>
      <c r="F88" s="810"/>
      <c r="G88" s="816"/>
      <c r="H88" s="817"/>
      <c r="I88" s="38"/>
      <c r="K88" s="736"/>
      <c r="L88" s="707"/>
      <c r="M88" s="707"/>
      <c r="N88" s="707"/>
      <c r="O88" s="707"/>
      <c r="P88" s="707"/>
      <c r="Q88" s="707"/>
      <c r="R88" s="707"/>
      <c r="S88" s="707"/>
      <c r="T88" s="707"/>
      <c r="U88" s="707"/>
      <c r="V88" s="707"/>
      <c r="W88" s="707"/>
      <c r="X88" s="737"/>
    </row>
    <row r="89" spans="1:24" ht="22.95" customHeight="1">
      <c r="B89" s="46"/>
      <c r="C89" s="821" t="s">
        <v>864</v>
      </c>
      <c r="D89" s="822"/>
      <c r="E89" s="809" t="s">
        <v>13</v>
      </c>
      <c r="F89" s="810"/>
      <c r="G89" s="816"/>
      <c r="H89" s="817"/>
      <c r="I89" s="38"/>
      <c r="K89" s="736"/>
      <c r="L89" s="707"/>
      <c r="M89" s="707"/>
      <c r="N89" s="707"/>
      <c r="O89" s="707"/>
      <c r="P89" s="707"/>
      <c r="Q89" s="707"/>
      <c r="R89" s="707"/>
      <c r="S89" s="707"/>
      <c r="T89" s="707"/>
      <c r="U89" s="707"/>
      <c r="V89" s="707"/>
      <c r="W89" s="707"/>
      <c r="X89" s="737"/>
    </row>
    <row r="90" spans="1:24" ht="22.95" customHeight="1">
      <c r="B90" s="46"/>
      <c r="C90" s="819" t="s">
        <v>865</v>
      </c>
      <c r="D90" s="815"/>
      <c r="E90" s="809" t="s">
        <v>12</v>
      </c>
      <c r="F90" s="810"/>
      <c r="G90" s="816"/>
      <c r="H90" s="817"/>
      <c r="I90" s="38"/>
      <c r="K90" s="736"/>
      <c r="L90" s="707"/>
      <c r="M90" s="707"/>
      <c r="N90" s="707"/>
      <c r="O90" s="707"/>
      <c r="P90" s="707"/>
      <c r="Q90" s="707"/>
      <c r="R90" s="707"/>
      <c r="S90" s="707"/>
      <c r="T90" s="707"/>
      <c r="U90" s="707"/>
      <c r="V90" s="707"/>
      <c r="W90" s="707"/>
      <c r="X90" s="737"/>
    </row>
    <row r="91" spans="1:24" ht="22.95" customHeight="1">
      <c r="B91" s="46"/>
      <c r="C91" s="819" t="s">
        <v>866</v>
      </c>
      <c r="D91" s="815"/>
      <c r="E91" s="809" t="s">
        <v>12</v>
      </c>
      <c r="F91" s="810"/>
      <c r="G91" s="816"/>
      <c r="H91" s="817"/>
      <c r="I91" s="38"/>
      <c r="K91" s="736"/>
      <c r="L91" s="707"/>
      <c r="M91" s="707"/>
      <c r="N91" s="707"/>
      <c r="O91" s="707"/>
      <c r="P91" s="707"/>
      <c r="Q91" s="707"/>
      <c r="R91" s="707"/>
      <c r="S91" s="707"/>
      <c r="T91" s="707"/>
      <c r="U91" s="707"/>
      <c r="V91" s="707"/>
      <c r="W91" s="707"/>
      <c r="X91" s="737"/>
    </row>
    <row r="92" spans="1:24" ht="22.95" customHeight="1">
      <c r="B92" s="46"/>
      <c r="C92" s="1313" t="s">
        <v>867</v>
      </c>
      <c r="D92" s="1314"/>
      <c r="E92" s="794"/>
      <c r="F92" s="836"/>
      <c r="G92" s="689"/>
      <c r="H92" s="690"/>
      <c r="I92" s="38"/>
      <c r="K92" s="736"/>
      <c r="L92" s="707"/>
      <c r="M92" s="707"/>
      <c r="N92" s="707"/>
      <c r="O92" s="707"/>
      <c r="P92" s="707"/>
      <c r="Q92" s="707"/>
      <c r="R92" s="707"/>
      <c r="S92" s="707"/>
      <c r="T92" s="707"/>
      <c r="U92" s="707"/>
      <c r="V92" s="707"/>
      <c r="W92" s="707"/>
      <c r="X92" s="737"/>
    </row>
    <row r="93" spans="1:24" s="77" customFormat="1" ht="22.95" customHeight="1">
      <c r="A93" s="892"/>
      <c r="B93" s="46"/>
      <c r="C93" s="819" t="s">
        <v>868</v>
      </c>
      <c r="D93" s="815"/>
      <c r="E93" s="809" t="s">
        <v>13</v>
      </c>
      <c r="F93" s="810"/>
      <c r="G93" s="816"/>
      <c r="H93" s="817"/>
      <c r="I93" s="38"/>
      <c r="J93" s="892"/>
      <c r="K93" s="736"/>
      <c r="L93" s="707"/>
      <c r="M93" s="707"/>
      <c r="N93" s="707"/>
      <c r="O93" s="707"/>
      <c r="P93" s="707"/>
      <c r="Q93" s="707"/>
      <c r="R93" s="707"/>
      <c r="S93" s="707"/>
      <c r="T93" s="707"/>
      <c r="U93" s="707"/>
      <c r="V93" s="707"/>
      <c r="W93" s="707"/>
      <c r="X93" s="737"/>
    </row>
    <row r="94" spans="1:24" ht="22.95" customHeight="1">
      <c r="B94" s="46"/>
      <c r="C94" s="819" t="s">
        <v>347</v>
      </c>
      <c r="D94" s="815"/>
      <c r="E94" s="809" t="s">
        <v>13</v>
      </c>
      <c r="F94" s="810"/>
      <c r="G94" s="816"/>
      <c r="H94" s="817"/>
      <c r="I94" s="38"/>
      <c r="K94" s="736"/>
      <c r="L94" s="707"/>
      <c r="M94" s="707"/>
      <c r="N94" s="707"/>
      <c r="O94" s="707"/>
      <c r="P94" s="707"/>
      <c r="Q94" s="707"/>
      <c r="R94" s="707"/>
      <c r="S94" s="707"/>
      <c r="T94" s="707"/>
      <c r="U94" s="707"/>
      <c r="V94" s="707"/>
      <c r="W94" s="707"/>
      <c r="X94" s="737"/>
    </row>
    <row r="95" spans="1:24" ht="22.95" customHeight="1">
      <c r="B95" s="46"/>
      <c r="C95" s="819" t="s">
        <v>869</v>
      </c>
      <c r="D95" s="815"/>
      <c r="E95" s="809" t="s">
        <v>13</v>
      </c>
      <c r="F95" s="810"/>
      <c r="G95" s="816"/>
      <c r="H95" s="817"/>
      <c r="I95" s="38"/>
      <c r="K95" s="736"/>
      <c r="L95" s="707"/>
      <c r="M95" s="707"/>
      <c r="N95" s="707"/>
      <c r="O95" s="707"/>
      <c r="P95" s="707"/>
      <c r="Q95" s="707"/>
      <c r="R95" s="707"/>
      <c r="S95" s="707"/>
      <c r="T95" s="707"/>
      <c r="U95" s="707"/>
      <c r="V95" s="707"/>
      <c r="W95" s="707"/>
      <c r="X95" s="737"/>
    </row>
    <row r="96" spans="1:24" ht="22.95" customHeight="1">
      <c r="B96" s="46"/>
      <c r="C96" s="819" t="s">
        <v>870</v>
      </c>
      <c r="D96" s="815"/>
      <c r="E96" s="809" t="s">
        <v>13</v>
      </c>
      <c r="F96" s="810"/>
      <c r="G96" s="816"/>
      <c r="H96" s="817"/>
      <c r="I96" s="38"/>
      <c r="K96" s="736"/>
      <c r="L96" s="707"/>
      <c r="M96" s="707"/>
      <c r="N96" s="707"/>
      <c r="O96" s="707"/>
      <c r="P96" s="707"/>
      <c r="Q96" s="707"/>
      <c r="R96" s="707"/>
      <c r="S96" s="707"/>
      <c r="T96" s="707"/>
      <c r="U96" s="707"/>
      <c r="V96" s="707"/>
      <c r="W96" s="707"/>
      <c r="X96" s="737"/>
    </row>
    <row r="97" spans="2:24" ht="22.95" customHeight="1">
      <c r="B97" s="46"/>
      <c r="C97" s="819" t="s">
        <v>871</v>
      </c>
      <c r="D97" s="815"/>
      <c r="E97" s="809" t="s">
        <v>12</v>
      </c>
      <c r="F97" s="810"/>
      <c r="G97" s="816"/>
      <c r="H97" s="817"/>
      <c r="I97" s="38"/>
      <c r="K97" s="736"/>
      <c r="L97" s="707"/>
      <c r="M97" s="707"/>
      <c r="N97" s="707"/>
      <c r="O97" s="707"/>
      <c r="P97" s="707"/>
      <c r="Q97" s="707"/>
      <c r="R97" s="707"/>
      <c r="S97" s="707"/>
      <c r="T97" s="707"/>
      <c r="U97" s="707"/>
      <c r="V97" s="707"/>
      <c r="W97" s="707"/>
      <c r="X97" s="737"/>
    </row>
    <row r="98" spans="2:24" ht="22.95" customHeight="1">
      <c r="B98" s="46"/>
      <c r="C98" s="819" t="s">
        <v>872</v>
      </c>
      <c r="D98" s="815"/>
      <c r="E98" s="809" t="s">
        <v>12</v>
      </c>
      <c r="F98" s="810"/>
      <c r="G98" s="816"/>
      <c r="H98" s="817"/>
      <c r="I98" s="38"/>
      <c r="K98" s="736"/>
      <c r="L98" s="707"/>
      <c r="M98" s="707"/>
      <c r="N98" s="707"/>
      <c r="O98" s="707"/>
      <c r="P98" s="707"/>
      <c r="Q98" s="707"/>
      <c r="R98" s="707"/>
      <c r="S98" s="707"/>
      <c r="T98" s="707"/>
      <c r="U98" s="707"/>
      <c r="V98" s="707"/>
      <c r="W98" s="707"/>
      <c r="X98" s="737"/>
    </row>
    <row r="99" spans="2:24" ht="22.95" customHeight="1">
      <c r="B99" s="46"/>
      <c r="C99" s="819" t="s">
        <v>873</v>
      </c>
      <c r="D99" s="815"/>
      <c r="E99" s="809" t="s">
        <v>12</v>
      </c>
      <c r="F99" s="810"/>
      <c r="G99" s="816"/>
      <c r="H99" s="817"/>
      <c r="I99" s="38"/>
      <c r="K99" s="736"/>
      <c r="L99" s="707"/>
      <c r="M99" s="707"/>
      <c r="N99" s="707"/>
      <c r="O99" s="707"/>
      <c r="P99" s="707"/>
      <c r="Q99" s="707"/>
      <c r="R99" s="707"/>
      <c r="S99" s="707"/>
      <c r="T99" s="707"/>
      <c r="U99" s="707"/>
      <c r="V99" s="707"/>
      <c r="W99" s="707"/>
      <c r="X99" s="737"/>
    </row>
    <row r="100" spans="2:24" ht="22.95" customHeight="1">
      <c r="B100" s="46"/>
      <c r="C100" s="819" t="s">
        <v>874</v>
      </c>
      <c r="D100" s="815"/>
      <c r="E100" s="809" t="s">
        <v>12</v>
      </c>
      <c r="F100" s="810"/>
      <c r="G100" s="816"/>
      <c r="H100" s="817"/>
      <c r="I100" s="38"/>
      <c r="K100" s="736"/>
      <c r="L100" s="707"/>
      <c r="M100" s="707"/>
      <c r="N100" s="707"/>
      <c r="O100" s="707"/>
      <c r="P100" s="707"/>
      <c r="Q100" s="707"/>
      <c r="R100" s="707"/>
      <c r="S100" s="707"/>
      <c r="T100" s="707"/>
      <c r="U100" s="707"/>
      <c r="V100" s="707"/>
      <c r="W100" s="707"/>
      <c r="X100" s="737"/>
    </row>
    <row r="101" spans="2:24" ht="25.2" customHeight="1" thickBot="1">
      <c r="B101" s="824"/>
      <c r="C101" s="1264"/>
      <c r="D101" s="1266"/>
      <c r="E101" s="793"/>
      <c r="F101" s="97" t="s">
        <v>714</v>
      </c>
      <c r="G101" s="69">
        <f>SUM(G62:G100)</f>
        <v>0</v>
      </c>
      <c r="H101" s="69">
        <f>SUM(H62:H100)</f>
        <v>0</v>
      </c>
      <c r="I101" s="825"/>
      <c r="K101" s="736"/>
      <c r="L101" s="707"/>
      <c r="M101" s="707"/>
      <c r="N101" s="707"/>
      <c r="O101" s="707"/>
      <c r="P101" s="707"/>
      <c r="Q101" s="707"/>
      <c r="R101" s="707"/>
      <c r="S101" s="707"/>
      <c r="T101" s="707"/>
      <c r="U101" s="707"/>
      <c r="V101" s="707"/>
      <c r="W101" s="707"/>
      <c r="X101" s="737"/>
    </row>
    <row r="102" spans="2:24" ht="17.399999999999999">
      <c r="B102" s="46"/>
      <c r="C102" s="599"/>
      <c r="D102" s="599"/>
      <c r="E102" s="599"/>
      <c r="F102" s="96"/>
      <c r="G102" s="96"/>
      <c r="H102" s="30"/>
      <c r="I102" s="38"/>
      <c r="K102" s="736"/>
      <c r="L102" s="707"/>
      <c r="M102" s="707"/>
      <c r="N102" s="707"/>
      <c r="O102" s="707"/>
      <c r="P102" s="707"/>
      <c r="Q102" s="707"/>
      <c r="R102" s="707"/>
      <c r="S102" s="707"/>
      <c r="T102" s="707"/>
      <c r="U102" s="707"/>
      <c r="V102" s="707"/>
      <c r="W102" s="707"/>
      <c r="X102" s="737"/>
    </row>
    <row r="103" spans="2:24" ht="17.399999999999999">
      <c r="B103" s="46"/>
      <c r="C103" s="67" t="s">
        <v>224</v>
      </c>
      <c r="D103" s="599"/>
      <c r="E103" s="599"/>
      <c r="F103" s="96"/>
      <c r="G103" s="96"/>
      <c r="H103" s="30"/>
      <c r="I103" s="38"/>
      <c r="K103" s="736"/>
      <c r="L103" s="707"/>
      <c r="M103" s="707"/>
      <c r="N103" s="707"/>
      <c r="O103" s="707"/>
      <c r="P103" s="707"/>
      <c r="Q103" s="707"/>
      <c r="R103" s="707"/>
      <c r="S103" s="707"/>
      <c r="T103" s="707"/>
      <c r="U103" s="707"/>
      <c r="V103" s="707"/>
      <c r="W103" s="707"/>
      <c r="X103" s="737"/>
    </row>
    <row r="104" spans="2:24" ht="17.399999999999999">
      <c r="B104" s="46"/>
      <c r="C104" s="65" t="s">
        <v>878</v>
      </c>
      <c r="D104" s="599"/>
      <c r="E104" s="599"/>
      <c r="F104" s="96"/>
      <c r="G104" s="96"/>
      <c r="H104" s="30"/>
      <c r="I104" s="38"/>
      <c r="K104" s="736"/>
      <c r="L104" s="707"/>
      <c r="M104" s="707"/>
      <c r="N104" s="707"/>
      <c r="O104" s="707"/>
      <c r="P104" s="707"/>
      <c r="Q104" s="707"/>
      <c r="R104" s="707"/>
      <c r="S104" s="707"/>
      <c r="T104" s="707"/>
      <c r="U104" s="707"/>
      <c r="V104" s="707"/>
      <c r="W104" s="707"/>
      <c r="X104" s="737"/>
    </row>
    <row r="105" spans="2:24" s="687" customFormat="1" ht="17.399999999999999">
      <c r="B105" s="46"/>
      <c r="C105" s="65" t="s">
        <v>879</v>
      </c>
      <c r="D105" s="599"/>
      <c r="E105" s="599"/>
      <c r="F105" s="96"/>
      <c r="G105" s="96"/>
      <c r="H105" s="30"/>
      <c r="I105" s="38"/>
      <c r="K105" s="736"/>
      <c r="L105" s="707"/>
      <c r="M105" s="707"/>
      <c r="N105" s="707"/>
      <c r="O105" s="707"/>
      <c r="P105" s="707"/>
      <c r="Q105" s="707"/>
      <c r="R105" s="707"/>
      <c r="S105" s="707"/>
      <c r="T105" s="707"/>
      <c r="U105" s="707"/>
      <c r="V105" s="707"/>
      <c r="W105" s="707"/>
      <c r="X105" s="737"/>
    </row>
    <row r="106" spans="2:24" s="687" customFormat="1" ht="17.399999999999999">
      <c r="B106" s="46"/>
      <c r="C106" s="65" t="s">
        <v>880</v>
      </c>
      <c r="D106" s="599"/>
      <c r="E106" s="599"/>
      <c r="F106" s="96"/>
      <c r="G106" s="96"/>
      <c r="H106" s="30"/>
      <c r="I106" s="38"/>
      <c r="K106" s="736"/>
      <c r="L106" s="707"/>
      <c r="M106" s="707"/>
      <c r="N106" s="707"/>
      <c r="O106" s="707"/>
      <c r="P106" s="707"/>
      <c r="Q106" s="707"/>
      <c r="R106" s="707"/>
      <c r="S106" s="707"/>
      <c r="T106" s="707"/>
      <c r="U106" s="707"/>
      <c r="V106" s="707"/>
      <c r="W106" s="707"/>
      <c r="X106" s="737"/>
    </row>
    <row r="107" spans="2:24" s="687" customFormat="1" ht="17.399999999999999">
      <c r="B107" s="46"/>
      <c r="C107" s="65" t="s">
        <v>881</v>
      </c>
      <c r="D107" s="599"/>
      <c r="E107" s="599"/>
      <c r="F107" s="96"/>
      <c r="G107" s="96"/>
      <c r="H107" s="30"/>
      <c r="I107" s="38"/>
      <c r="K107" s="736"/>
      <c r="L107" s="707"/>
      <c r="M107" s="707"/>
      <c r="N107" s="707"/>
      <c r="O107" s="707"/>
      <c r="P107" s="707"/>
      <c r="Q107" s="707"/>
      <c r="R107" s="707"/>
      <c r="S107" s="707"/>
      <c r="T107" s="707"/>
      <c r="U107" s="707"/>
      <c r="V107" s="707"/>
      <c r="W107" s="707"/>
      <c r="X107" s="737"/>
    </row>
    <row r="108" spans="2:24" s="687" customFormat="1" ht="17.399999999999999">
      <c r="B108" s="46"/>
      <c r="C108" s="65" t="s">
        <v>882</v>
      </c>
      <c r="D108" s="599"/>
      <c r="E108" s="599"/>
      <c r="F108" s="96"/>
      <c r="G108" s="96"/>
      <c r="H108" s="30"/>
      <c r="I108" s="38"/>
      <c r="K108" s="736"/>
      <c r="L108" s="707"/>
      <c r="M108" s="707"/>
      <c r="N108" s="707"/>
      <c r="O108" s="707"/>
      <c r="P108" s="707"/>
      <c r="Q108" s="707"/>
      <c r="R108" s="707"/>
      <c r="S108" s="707"/>
      <c r="T108" s="707"/>
      <c r="U108" s="707"/>
      <c r="V108" s="707"/>
      <c r="W108" s="707"/>
      <c r="X108" s="737"/>
    </row>
    <row r="109" spans="2:24" s="687" customFormat="1" ht="17.399999999999999">
      <c r="B109" s="46"/>
      <c r="C109" s="65" t="s">
        <v>883</v>
      </c>
      <c r="D109" s="599"/>
      <c r="E109" s="599"/>
      <c r="F109" s="96"/>
      <c r="G109" s="96"/>
      <c r="H109" s="30"/>
      <c r="I109" s="38"/>
      <c r="K109" s="736"/>
      <c r="L109" s="707"/>
      <c r="M109" s="707"/>
      <c r="N109" s="707"/>
      <c r="O109" s="707"/>
      <c r="P109" s="707"/>
      <c r="Q109" s="707"/>
      <c r="R109" s="707"/>
      <c r="S109" s="707"/>
      <c r="T109" s="707"/>
      <c r="U109" s="707"/>
      <c r="V109" s="707"/>
      <c r="W109" s="707"/>
      <c r="X109" s="737"/>
    </row>
    <row r="110" spans="2:24" s="687" customFormat="1" ht="17.399999999999999">
      <c r="B110" s="46"/>
      <c r="C110" s="65" t="s">
        <v>884</v>
      </c>
      <c r="D110" s="599"/>
      <c r="E110" s="599"/>
      <c r="F110" s="96"/>
      <c r="G110" s="96"/>
      <c r="H110" s="30"/>
      <c r="I110" s="38"/>
      <c r="K110" s="736"/>
      <c r="L110" s="707"/>
      <c r="M110" s="707"/>
      <c r="N110" s="707"/>
      <c r="O110" s="707"/>
      <c r="P110" s="707"/>
      <c r="Q110" s="707"/>
      <c r="R110" s="707"/>
      <c r="S110" s="707"/>
      <c r="T110" s="707"/>
      <c r="U110" s="707"/>
      <c r="V110" s="707"/>
      <c r="W110" s="707"/>
      <c r="X110" s="737"/>
    </row>
    <row r="111" spans="2:24" s="687" customFormat="1" ht="17.399999999999999">
      <c r="B111" s="46"/>
      <c r="C111" s="795" t="s">
        <v>885</v>
      </c>
      <c r="D111" s="65"/>
      <c r="E111" s="65"/>
      <c r="F111" s="66"/>
      <c r="G111" s="66"/>
      <c r="H111" s="30"/>
      <c r="I111" s="38"/>
      <c r="K111" s="736"/>
      <c r="L111" s="707"/>
      <c r="M111" s="707"/>
      <c r="N111" s="707"/>
      <c r="O111" s="707"/>
      <c r="P111" s="707"/>
      <c r="Q111" s="707"/>
      <c r="R111" s="707"/>
      <c r="S111" s="707"/>
      <c r="T111" s="707"/>
      <c r="U111" s="707"/>
      <c r="V111" s="707"/>
      <c r="W111" s="707"/>
      <c r="X111" s="737"/>
    </row>
    <row r="112" spans="2:24" s="687" customFormat="1" ht="13.8" thickBot="1">
      <c r="B112" s="49"/>
      <c r="C112" s="1154"/>
      <c r="D112" s="1154"/>
      <c r="E112" s="25"/>
      <c r="F112" s="25"/>
      <c r="G112" s="25"/>
      <c r="H112" s="50"/>
      <c r="I112" s="51"/>
      <c r="K112" s="738"/>
      <c r="L112" s="739"/>
      <c r="M112" s="739"/>
      <c r="N112" s="739"/>
      <c r="O112" s="739"/>
      <c r="P112" s="739"/>
      <c r="Q112" s="739"/>
      <c r="R112" s="739"/>
      <c r="S112" s="739"/>
      <c r="T112" s="739"/>
      <c r="U112" s="739"/>
      <c r="V112" s="739"/>
      <c r="W112" s="739"/>
      <c r="X112" s="740"/>
    </row>
    <row r="113" spans="2:10" s="687" customFormat="1" ht="13.2">
      <c r="B113" s="31"/>
      <c r="C113" s="31"/>
      <c r="D113" s="31"/>
      <c r="E113" s="31"/>
      <c r="F113" s="32"/>
      <c r="G113" s="32"/>
      <c r="H113" s="32"/>
      <c r="I113" s="31"/>
      <c r="J113" s="31" t="s">
        <v>179</v>
      </c>
    </row>
    <row r="114" spans="2:10" s="687" customFormat="1" ht="13.2">
      <c r="B114" s="31"/>
      <c r="C114" s="52" t="s">
        <v>52</v>
      </c>
      <c r="D114" s="31"/>
      <c r="E114" s="31"/>
      <c r="F114" s="32"/>
      <c r="G114" s="32"/>
      <c r="H114" s="29" t="s">
        <v>886</v>
      </c>
      <c r="I114" s="31"/>
    </row>
    <row r="115" spans="2:10" s="687" customFormat="1" ht="13.2">
      <c r="B115" s="31"/>
      <c r="C115" s="52" t="s">
        <v>54</v>
      </c>
      <c r="D115" s="31"/>
      <c r="E115" s="31"/>
      <c r="F115" s="32"/>
      <c r="G115" s="32"/>
      <c r="H115" s="32"/>
      <c r="I115" s="31"/>
    </row>
    <row r="116" spans="2:10" s="687" customFormat="1" ht="13.2">
      <c r="B116" s="31"/>
      <c r="C116" s="52" t="s">
        <v>55</v>
      </c>
      <c r="D116" s="31"/>
      <c r="E116" s="31"/>
      <c r="F116" s="32"/>
      <c r="G116" s="32"/>
      <c r="H116" s="32"/>
      <c r="I116" s="31"/>
    </row>
    <row r="117" spans="2:10" s="687" customFormat="1" ht="13.2">
      <c r="B117" s="31"/>
      <c r="C117" s="52" t="s">
        <v>56</v>
      </c>
      <c r="D117" s="31"/>
      <c r="E117" s="31"/>
      <c r="F117" s="32"/>
      <c r="G117" s="32"/>
      <c r="H117" s="32"/>
      <c r="I117" s="31"/>
    </row>
    <row r="118" spans="2:10" s="687" customFormat="1" ht="13.2">
      <c r="B118" s="31"/>
      <c r="C118" s="52" t="s">
        <v>57</v>
      </c>
      <c r="D118" s="31"/>
      <c r="E118" s="31"/>
      <c r="F118" s="32"/>
      <c r="G118" s="32"/>
      <c r="H118" s="32"/>
      <c r="I118" s="31"/>
    </row>
    <row r="119" spans="2:10" s="687" customFormat="1" ht="13.2">
      <c r="C119" s="31"/>
      <c r="D119" s="31"/>
      <c r="E119" s="31"/>
      <c r="G119" s="688"/>
      <c r="H119" s="688"/>
    </row>
    <row r="120" spans="2:10" s="687" customFormat="1" ht="13.2">
      <c r="C120" s="31"/>
      <c r="D120" s="31"/>
      <c r="E120" s="31"/>
      <c r="G120" s="688"/>
      <c r="H120" s="688"/>
    </row>
    <row r="121" spans="2:10" s="687" customFormat="1" ht="13.2">
      <c r="C121" s="31"/>
      <c r="D121" s="31"/>
      <c r="E121" s="31"/>
      <c r="G121" s="688"/>
      <c r="H121" s="688"/>
    </row>
    <row r="122" spans="2:10" s="687" customFormat="1" ht="13.2">
      <c r="C122" s="31"/>
      <c r="D122" s="31"/>
      <c r="E122" s="31"/>
      <c r="G122" s="688"/>
      <c r="H122" s="688"/>
    </row>
    <row r="123" spans="2:10" s="687" customFormat="1" ht="13.2">
      <c r="C123" s="31"/>
      <c r="D123" s="31"/>
      <c r="E123" s="31"/>
      <c r="G123" s="688"/>
      <c r="H123" s="688"/>
    </row>
    <row r="124" spans="2:10" s="687" customFormat="1" ht="13.2">
      <c r="C124" s="31"/>
      <c r="D124" s="31"/>
      <c r="E124" s="31"/>
      <c r="G124" s="688"/>
      <c r="H124" s="688"/>
    </row>
    <row r="125" spans="2:10" s="687" customFormat="1" ht="13.2">
      <c r="C125" s="31"/>
      <c r="D125" s="31"/>
      <c r="E125" s="31"/>
      <c r="G125" s="688"/>
      <c r="H125" s="688"/>
    </row>
    <row r="126" spans="2:10" s="687" customFormat="1" ht="13.2">
      <c r="C126" s="31"/>
      <c r="D126" s="31"/>
      <c r="E126" s="31"/>
      <c r="G126" s="688"/>
      <c r="H126" s="688"/>
    </row>
    <row r="127" spans="2:10" s="687" customFormat="1" ht="13.2">
      <c r="C127" s="31"/>
      <c r="D127" s="31"/>
      <c r="E127" s="31"/>
      <c r="G127" s="688"/>
      <c r="H127" s="688"/>
    </row>
    <row r="128" spans="2:10" s="687" customFormat="1" ht="13.2">
      <c r="C128" s="31"/>
      <c r="D128" s="31"/>
      <c r="E128" s="31"/>
      <c r="G128" s="688"/>
      <c r="H128" s="688"/>
    </row>
    <row r="129" spans="3:8" s="687" customFormat="1" ht="13.2">
      <c r="C129" s="31"/>
      <c r="D129" s="31"/>
      <c r="E129" s="31"/>
      <c r="G129" s="688"/>
      <c r="H129" s="688"/>
    </row>
    <row r="130" spans="3:8" s="687" customFormat="1" ht="13.2">
      <c r="C130" s="31"/>
      <c r="D130" s="31"/>
      <c r="E130" s="31"/>
      <c r="G130" s="688"/>
      <c r="H130" s="688"/>
    </row>
    <row r="131" spans="3:8" s="687" customFormat="1" ht="13.2">
      <c r="C131" s="31"/>
      <c r="D131" s="31"/>
      <c r="E131" s="31"/>
      <c r="G131" s="688"/>
      <c r="H131" s="688"/>
    </row>
    <row r="132" spans="3:8" s="687" customFormat="1" ht="13.2">
      <c r="C132" s="31"/>
      <c r="D132" s="31"/>
      <c r="E132" s="31"/>
      <c r="G132" s="688"/>
      <c r="H132" s="688"/>
    </row>
    <row r="133" spans="3:8" s="687" customFormat="1" ht="13.2">
      <c r="C133" s="31"/>
      <c r="D133" s="31"/>
      <c r="E133" s="31"/>
      <c r="G133" s="688"/>
      <c r="H133" s="688"/>
    </row>
    <row r="134" spans="3:8" s="687" customFormat="1" ht="13.2">
      <c r="C134" s="31"/>
      <c r="D134" s="31"/>
      <c r="E134" s="31"/>
      <c r="G134" s="688"/>
      <c r="H134" s="688"/>
    </row>
    <row r="135" spans="3:8" s="687" customFormat="1" ht="13.2">
      <c r="C135" s="31"/>
      <c r="D135" s="31"/>
      <c r="E135" s="31"/>
      <c r="G135" s="688"/>
      <c r="H135" s="688"/>
    </row>
    <row r="136" spans="3:8" s="687" customFormat="1" ht="13.2">
      <c r="C136" s="31"/>
      <c r="D136" s="31"/>
      <c r="E136" s="31"/>
      <c r="G136" s="688"/>
      <c r="H136" s="688"/>
    </row>
    <row r="137" spans="3:8" s="687" customFormat="1" ht="13.2">
      <c r="C137" s="31"/>
      <c r="D137" s="31"/>
      <c r="E137" s="31"/>
      <c r="G137" s="688"/>
      <c r="H137" s="688"/>
    </row>
    <row r="138" spans="3:8" s="687" customFormat="1" ht="13.2">
      <c r="C138" s="31"/>
      <c r="D138" s="31"/>
      <c r="E138" s="31"/>
      <c r="G138" s="688"/>
      <c r="H138" s="688"/>
    </row>
    <row r="139" spans="3:8" s="687" customFormat="1" ht="13.2">
      <c r="C139" s="31"/>
      <c r="D139" s="31"/>
      <c r="E139" s="31"/>
      <c r="G139" s="688"/>
      <c r="H139" s="688"/>
    </row>
    <row r="140" spans="3:8" s="687" customFormat="1" ht="13.2">
      <c r="C140" s="31"/>
      <c r="D140" s="31"/>
      <c r="E140" s="31"/>
      <c r="G140" s="688"/>
      <c r="H140" s="688"/>
    </row>
    <row r="141" spans="3:8" s="687" customFormat="1" ht="13.2">
      <c r="C141" s="31"/>
      <c r="D141" s="31"/>
      <c r="E141" s="31"/>
      <c r="G141" s="688"/>
      <c r="H141" s="688"/>
    </row>
    <row r="142" spans="3:8" s="687" customFormat="1" ht="13.2">
      <c r="C142" s="31"/>
      <c r="D142" s="31"/>
      <c r="E142" s="31"/>
      <c r="G142" s="688"/>
      <c r="H142" s="688"/>
    </row>
    <row r="143" spans="3:8" s="687" customFormat="1" ht="13.2">
      <c r="C143" s="31"/>
      <c r="D143" s="31"/>
      <c r="E143" s="31"/>
      <c r="G143" s="688"/>
      <c r="H143" s="688"/>
    </row>
    <row r="144" spans="3:8" s="687" customFormat="1" ht="13.2">
      <c r="C144" s="31"/>
      <c r="D144" s="31"/>
      <c r="E144" s="31"/>
      <c r="G144" s="688"/>
      <c r="H144" s="688"/>
    </row>
    <row r="145" spans="3:8" s="687" customFormat="1" ht="13.2">
      <c r="C145" s="31"/>
      <c r="D145" s="31"/>
      <c r="E145" s="31"/>
      <c r="G145" s="688"/>
      <c r="H145" s="688"/>
    </row>
    <row r="146" spans="3:8" s="687" customFormat="1" ht="13.2">
      <c r="C146" s="31"/>
      <c r="D146" s="31"/>
      <c r="E146" s="31"/>
      <c r="G146" s="688"/>
      <c r="H146" s="688"/>
    </row>
    <row r="147" spans="3:8" s="687" customFormat="1" ht="13.2">
      <c r="C147" s="31"/>
      <c r="D147" s="31"/>
      <c r="E147" s="31"/>
      <c r="G147" s="688"/>
      <c r="H147" s="688"/>
    </row>
    <row r="148" spans="3:8" s="687" customFormat="1" ht="13.2">
      <c r="C148" s="31"/>
      <c r="D148" s="31"/>
      <c r="E148" s="31"/>
      <c r="G148" s="688"/>
      <c r="H148" s="688"/>
    </row>
    <row r="149" spans="3:8" s="687" customFormat="1" ht="13.2">
      <c r="C149" s="31"/>
      <c r="D149" s="31"/>
      <c r="E149" s="31"/>
      <c r="G149" s="688"/>
      <c r="H149" s="688"/>
    </row>
    <row r="150" spans="3:8" s="687" customFormat="1" ht="13.2">
      <c r="C150" s="31"/>
      <c r="D150" s="31"/>
      <c r="E150" s="31"/>
      <c r="G150" s="688"/>
      <c r="H150" s="688"/>
    </row>
    <row r="151" spans="3:8" s="687" customFormat="1" ht="13.2">
      <c r="C151" s="31"/>
      <c r="D151" s="31"/>
      <c r="E151" s="31"/>
      <c r="G151" s="688"/>
      <c r="H151" s="688"/>
    </row>
    <row r="152" spans="3:8" s="687" customFormat="1" ht="13.2">
      <c r="C152" s="31"/>
      <c r="D152" s="31"/>
      <c r="E152" s="31"/>
      <c r="G152" s="688"/>
      <c r="H152" s="688"/>
    </row>
    <row r="153" spans="3:8" s="687" customFormat="1" ht="13.2">
      <c r="C153" s="31"/>
      <c r="D153" s="31"/>
      <c r="E153" s="31"/>
      <c r="G153" s="688"/>
      <c r="H153" s="688"/>
    </row>
    <row r="154" spans="3:8" s="687" customFormat="1" ht="13.2">
      <c r="C154" s="31"/>
      <c r="D154" s="31"/>
      <c r="E154" s="31"/>
      <c r="F154" s="688"/>
      <c r="G154" s="688"/>
      <c r="H154" s="688"/>
    </row>
    <row r="155" spans="3:8" s="687" customFormat="1" ht="22.95" customHeight="1">
      <c r="C155" s="31"/>
      <c r="D155" s="31"/>
      <c r="E155" s="31"/>
      <c r="F155" s="688"/>
      <c r="G155" s="688"/>
      <c r="H155" s="688"/>
    </row>
    <row r="156" spans="3:8" s="687" customFormat="1" ht="22.95" customHeight="1">
      <c r="C156" s="31"/>
      <c r="D156" s="31"/>
      <c r="E156" s="31"/>
      <c r="F156" s="688"/>
      <c r="G156" s="688"/>
      <c r="H156" s="688"/>
    </row>
    <row r="157" spans="3:8" s="687" customFormat="1" ht="22.95" customHeight="1">
      <c r="C157" s="31"/>
      <c r="D157" s="31"/>
      <c r="E157" s="31"/>
      <c r="F157" s="688"/>
      <c r="G157" s="688"/>
      <c r="H157" s="688"/>
    </row>
    <row r="158" spans="3:8" s="687" customFormat="1" ht="22.95" customHeight="1">
      <c r="C158" s="31"/>
      <c r="D158" s="31"/>
      <c r="E158" s="31"/>
      <c r="F158" s="688"/>
      <c r="G158" s="688"/>
      <c r="H158" s="688"/>
    </row>
    <row r="159" spans="3:8" s="687" customFormat="1" ht="22.95" customHeight="1">
      <c r="C159" s="31"/>
      <c r="D159" s="31"/>
      <c r="E159" s="31"/>
      <c r="F159" s="688"/>
      <c r="G159" s="688"/>
      <c r="H159" s="688"/>
    </row>
  </sheetData>
  <sheetProtection algorithmName="SHA-512" hashValue="YI7pTdlF0x+KH2ZcLGeUFxRNXT+rPgyj6G5FLNfTlCEkhOwpSFRqyVqOLE66YXGZBwjsvit4moTv48ioaaL9Og==" saltValue="yCUSZ5MElLAfRiSwMYyH3g==" spinCount="100000" sheet="1" insertRows="0"/>
  <mergeCells count="16">
    <mergeCell ref="C112:D112"/>
    <mergeCell ref="C61:D61"/>
    <mergeCell ref="C80:D80"/>
    <mergeCell ref="C92:D92"/>
    <mergeCell ref="C101:D101"/>
    <mergeCell ref="C47:D47"/>
    <mergeCell ref="C56:D56"/>
    <mergeCell ref="C58:H58"/>
    <mergeCell ref="C60:D60"/>
    <mergeCell ref="C16:D16"/>
    <mergeCell ref="C35:D35"/>
    <mergeCell ref="H6:H7"/>
    <mergeCell ref="D9:H9"/>
    <mergeCell ref="C12:D12"/>
    <mergeCell ref="C13:H13"/>
    <mergeCell ref="C15:D15"/>
  </mergeCells>
  <phoneticPr fontId="16" type="noConversion"/>
  <dataValidations count="4">
    <dataValidation showDropDown="1" showInputMessage="1" showErrorMessage="1" sqref="C44:C46 C89:C91" xr:uid="{00000000-0002-0000-1100-000000000000}"/>
    <dataValidation type="list" showDropDown="1" showInputMessage="1" showErrorMessage="1" sqref="C72:C79 C19:C34" xr:uid="{00000000-0002-0000-1100-000001000000}">
      <formula1>$C$121:$C$141</formula1>
    </dataValidation>
    <dataValidation type="list" showDropDown="1" showInputMessage="1" showErrorMessage="1" sqref="C48:C55 C90:C91 C78:C79 C93:C100 C33:C34 C45:C46" xr:uid="{00000000-0002-0000-1100-000002000000}">
      <formula1>$C$159:$C$167</formula1>
    </dataValidation>
    <dataValidation type="list" showDropDown="1" showInputMessage="1" showErrorMessage="1" sqref="C36:C43 C85:C88" xr:uid="{00000000-0002-0000-1100-000003000000}">
      <formula1>$C$143:$C$157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27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8">
    <pageSetUpPr fitToPage="1"/>
  </sheetPr>
  <dimension ref="A2:X41"/>
  <sheetViews>
    <sheetView topLeftCell="A7" zoomScaleNormal="100" workbookViewId="0">
      <selection activeCell="C17" sqref="C17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4" width="13.54296875" style="31" customWidth="1"/>
    <col min="5" max="5" width="99.54296875" style="31" customWidth="1"/>
    <col min="6" max="8" width="17.54296875" style="32" customWidth="1"/>
    <col min="9" max="9" width="3.453125" style="31" customWidth="1"/>
    <col min="10" max="16384" width="10.54296875" style="31"/>
  </cols>
  <sheetData>
    <row r="2" spans="1:24" ht="22.95" customHeight="1">
      <c r="E2" s="318" t="str">
        <f>_GENERAL!D2</f>
        <v>Área de la Presidenta: Igualdad y Diversidad, Hacienda y Proyectos Estratégicos</v>
      </c>
    </row>
    <row r="3" spans="1:24" ht="22.95" customHeight="1">
      <c r="E3" s="318" t="str">
        <f>_GENERAL!D3</f>
        <v>Dirección Insular de Hacienda</v>
      </c>
    </row>
    <row r="4" spans="1:24" ht="22.95" customHeight="1" thickBot="1">
      <c r="A4" s="31" t="s">
        <v>129</v>
      </c>
    </row>
    <row r="5" spans="1:24" ht="9" customHeight="1">
      <c r="B5" s="33"/>
      <c r="C5" s="34"/>
      <c r="D5" s="34"/>
      <c r="E5" s="34"/>
      <c r="F5" s="35"/>
      <c r="G5" s="35"/>
      <c r="H5" s="35"/>
      <c r="I5" s="36"/>
      <c r="K5" s="700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2"/>
    </row>
    <row r="6" spans="1:24" ht="30" customHeight="1">
      <c r="B6" s="37"/>
      <c r="C6" s="28" t="s">
        <v>2</v>
      </c>
      <c r="D6" s="28"/>
      <c r="H6" s="1138">
        <f>ejercicio</f>
        <v>2025</v>
      </c>
      <c r="I6" s="38"/>
      <c r="K6" s="163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6"/>
    </row>
    <row r="7" spans="1:24" ht="30" customHeight="1">
      <c r="B7" s="37"/>
      <c r="C7" s="28" t="s">
        <v>3</v>
      </c>
      <c r="D7" s="28"/>
      <c r="H7" s="1138"/>
      <c r="I7" s="38"/>
      <c r="K7" s="167"/>
      <c r="L7" s="164" t="s">
        <v>130</v>
      </c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9"/>
    </row>
    <row r="8" spans="1:24" ht="30" customHeight="1">
      <c r="B8" s="37"/>
      <c r="C8" s="39"/>
      <c r="D8" s="39"/>
      <c r="H8" s="40"/>
      <c r="I8" s="38"/>
      <c r="K8" s="736"/>
      <c r="L8" s="707"/>
      <c r="M8" s="707"/>
      <c r="N8" s="707"/>
      <c r="O8" s="707"/>
      <c r="P8" s="707"/>
      <c r="Q8" s="707"/>
      <c r="R8" s="707"/>
      <c r="S8" s="707"/>
      <c r="T8" s="707"/>
      <c r="U8" s="707"/>
      <c r="V8" s="707"/>
      <c r="W8" s="707"/>
      <c r="X8" s="737"/>
    </row>
    <row r="9" spans="1:24" s="77" customFormat="1" ht="30" customHeight="1">
      <c r="A9" s="892"/>
      <c r="B9" s="824"/>
      <c r="C9" s="21" t="s">
        <v>59</v>
      </c>
      <c r="D9" s="21"/>
      <c r="E9" s="1155" t="str">
        <f>Entidad</f>
        <v>Fundación Canaria TENERIFE RURAL</v>
      </c>
      <c r="F9" s="1155"/>
      <c r="G9" s="1155"/>
      <c r="H9" s="1155"/>
      <c r="I9" s="825"/>
      <c r="J9" s="892"/>
      <c r="K9" s="736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37"/>
    </row>
    <row r="10" spans="1:24" ht="7.2" customHeight="1">
      <c r="B10" s="37"/>
      <c r="I10" s="38"/>
      <c r="K10" s="736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37"/>
    </row>
    <row r="11" spans="1:24" s="45" customFormat="1" ht="30" customHeight="1">
      <c r="B11" s="41"/>
      <c r="C11" s="42" t="s">
        <v>887</v>
      </c>
      <c r="D11" s="42"/>
      <c r="E11" s="42"/>
      <c r="F11" s="43"/>
      <c r="G11" s="43"/>
      <c r="H11" s="43"/>
      <c r="I11" s="44"/>
      <c r="K11" s="736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37"/>
    </row>
    <row r="12" spans="1:24" s="45" customFormat="1" ht="30" customHeight="1">
      <c r="B12" s="41"/>
      <c r="C12" s="1184"/>
      <c r="D12" s="1184"/>
      <c r="E12" s="1184"/>
      <c r="F12" s="30"/>
      <c r="G12" s="30"/>
      <c r="H12" s="30"/>
      <c r="I12" s="44"/>
      <c r="K12" s="736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37"/>
    </row>
    <row r="13" spans="1:24" ht="28.95" customHeight="1">
      <c r="B13" s="46"/>
      <c r="C13" s="27" t="s">
        <v>888</v>
      </c>
      <c r="D13" s="27"/>
      <c r="E13" s="571"/>
      <c r="F13" s="30"/>
      <c r="G13" s="30"/>
      <c r="H13" s="120"/>
      <c r="I13" s="38"/>
      <c r="K13" s="736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37"/>
    </row>
    <row r="14" spans="1:24" ht="9" customHeight="1">
      <c r="B14" s="46"/>
      <c r="C14" s="571"/>
      <c r="D14" s="571"/>
      <c r="E14" s="571"/>
      <c r="F14" s="30"/>
      <c r="G14" s="30"/>
      <c r="H14" s="30"/>
      <c r="I14" s="38"/>
      <c r="K14" s="736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37"/>
    </row>
    <row r="15" spans="1:24" s="109" customFormat="1" ht="22.95" customHeight="1">
      <c r="B15" s="110"/>
      <c r="C15" s="83" t="s">
        <v>889</v>
      </c>
      <c r="D15" s="83"/>
      <c r="E15" s="111"/>
      <c r="F15" s="83" t="s">
        <v>700</v>
      </c>
      <c r="G15" s="83" t="s">
        <v>890</v>
      </c>
      <c r="H15" s="83"/>
      <c r="I15" s="112"/>
      <c r="K15" s="736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37"/>
    </row>
    <row r="16" spans="1:24" s="109" customFormat="1" ht="24" customHeight="1">
      <c r="B16" s="110"/>
      <c r="C16" s="115" t="s">
        <v>891</v>
      </c>
      <c r="D16" s="115" t="s">
        <v>892</v>
      </c>
      <c r="E16" s="116" t="s">
        <v>742</v>
      </c>
      <c r="F16" s="115" t="s">
        <v>893</v>
      </c>
      <c r="G16" s="115">
        <f>ejercicio</f>
        <v>2025</v>
      </c>
      <c r="H16" s="115" t="s">
        <v>894</v>
      </c>
      <c r="I16" s="112"/>
      <c r="K16" s="736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37"/>
    </row>
    <row r="17" spans="2:24" ht="22.95" customHeight="1">
      <c r="B17" s="46"/>
      <c r="C17" s="640"/>
      <c r="D17" s="640"/>
      <c r="E17" s="337"/>
      <c r="F17" s="621"/>
      <c r="G17" s="621"/>
      <c r="H17" s="1048"/>
      <c r="I17" s="38"/>
      <c r="K17" s="736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37"/>
    </row>
    <row r="18" spans="2:24" ht="22.95" customHeight="1">
      <c r="B18" s="46"/>
      <c r="C18" s="640"/>
      <c r="D18" s="640"/>
      <c r="E18" s="337"/>
      <c r="F18" s="621"/>
      <c r="G18" s="621"/>
      <c r="H18" s="1048"/>
      <c r="I18" s="38"/>
      <c r="K18" s="736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37"/>
    </row>
    <row r="19" spans="2:24" ht="22.95" customHeight="1">
      <c r="B19" s="46"/>
      <c r="C19" s="640"/>
      <c r="D19" s="640"/>
      <c r="E19" s="337"/>
      <c r="F19" s="621"/>
      <c r="G19" s="621"/>
      <c r="H19" s="1048"/>
      <c r="I19" s="38"/>
      <c r="K19" s="736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37"/>
    </row>
    <row r="20" spans="2:24" ht="22.95" customHeight="1">
      <c r="B20" s="46"/>
      <c r="C20" s="640"/>
      <c r="D20" s="640"/>
      <c r="E20" s="337"/>
      <c r="F20" s="621"/>
      <c r="G20" s="621"/>
      <c r="H20" s="1048"/>
      <c r="I20" s="38"/>
      <c r="K20" s="736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37"/>
    </row>
    <row r="21" spans="2:24" ht="22.95" customHeight="1">
      <c r="B21" s="46"/>
      <c r="C21" s="640"/>
      <c r="D21" s="640"/>
      <c r="E21" s="337"/>
      <c r="F21" s="621"/>
      <c r="G21" s="621"/>
      <c r="H21" s="1048"/>
      <c r="I21" s="38"/>
      <c r="K21" s="736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37"/>
    </row>
    <row r="22" spans="2:24" ht="22.95" customHeight="1">
      <c r="B22" s="46"/>
      <c r="C22" s="640"/>
      <c r="D22" s="640"/>
      <c r="E22" s="337"/>
      <c r="F22" s="621"/>
      <c r="G22" s="621"/>
      <c r="H22" s="1048"/>
      <c r="I22" s="38"/>
      <c r="K22" s="736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37"/>
    </row>
    <row r="23" spans="2:24" ht="22.95" customHeight="1">
      <c r="B23" s="46"/>
      <c r="C23" s="640"/>
      <c r="D23" s="640"/>
      <c r="E23" s="337"/>
      <c r="F23" s="621"/>
      <c r="G23" s="621"/>
      <c r="H23" s="1048"/>
      <c r="I23" s="38"/>
      <c r="K23" s="736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37"/>
    </row>
    <row r="24" spans="2:24" ht="22.95" customHeight="1">
      <c r="B24" s="46"/>
      <c r="C24" s="640"/>
      <c r="D24" s="640"/>
      <c r="E24" s="337"/>
      <c r="F24" s="621"/>
      <c r="G24" s="621"/>
      <c r="H24" s="1048"/>
      <c r="I24" s="38"/>
      <c r="K24" s="736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37"/>
    </row>
    <row r="25" spans="2:24" ht="22.95" customHeight="1">
      <c r="B25" s="46"/>
      <c r="C25" s="640"/>
      <c r="D25" s="640"/>
      <c r="E25" s="337"/>
      <c r="F25" s="621"/>
      <c r="G25" s="621"/>
      <c r="H25" s="1048"/>
      <c r="I25" s="38"/>
      <c r="K25" s="736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37"/>
    </row>
    <row r="26" spans="2:24" ht="22.95" customHeight="1">
      <c r="B26" s="46"/>
      <c r="C26" s="640"/>
      <c r="D26" s="640"/>
      <c r="E26" s="337"/>
      <c r="F26" s="621"/>
      <c r="G26" s="621"/>
      <c r="H26" s="1048"/>
      <c r="I26" s="38"/>
      <c r="K26" s="736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37"/>
    </row>
    <row r="27" spans="2:24" ht="22.95" customHeight="1">
      <c r="B27" s="46"/>
      <c r="C27" s="640"/>
      <c r="D27" s="640"/>
      <c r="E27" s="337"/>
      <c r="F27" s="621"/>
      <c r="G27" s="621"/>
      <c r="H27" s="1048"/>
      <c r="I27" s="38"/>
      <c r="K27" s="736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37"/>
    </row>
    <row r="28" spans="2:24" ht="22.95" customHeight="1">
      <c r="B28" s="46"/>
      <c r="C28" s="640"/>
      <c r="D28" s="640"/>
      <c r="E28" s="337"/>
      <c r="F28" s="621"/>
      <c r="G28" s="621"/>
      <c r="H28" s="1048"/>
      <c r="I28" s="38"/>
      <c r="K28" s="736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37"/>
    </row>
    <row r="29" spans="2:24" ht="22.95" customHeight="1">
      <c r="B29" s="46"/>
      <c r="C29" s="640"/>
      <c r="D29" s="640"/>
      <c r="E29" s="337"/>
      <c r="F29" s="621"/>
      <c r="G29" s="621"/>
      <c r="H29" s="1048"/>
      <c r="I29" s="38"/>
      <c r="K29" s="736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37"/>
    </row>
    <row r="30" spans="2:24" ht="22.95" customHeight="1">
      <c r="B30" s="46"/>
      <c r="C30" s="640"/>
      <c r="D30" s="640"/>
      <c r="E30" s="337"/>
      <c r="F30" s="621"/>
      <c r="G30" s="621"/>
      <c r="H30" s="1048"/>
      <c r="I30" s="38"/>
      <c r="K30" s="736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37"/>
    </row>
    <row r="31" spans="2:24" ht="22.95" customHeight="1">
      <c r="B31" s="46"/>
      <c r="C31" s="650"/>
      <c r="D31" s="650"/>
      <c r="E31" s="648"/>
      <c r="F31" s="661"/>
      <c r="G31" s="661"/>
      <c r="H31" s="1049"/>
      <c r="I31" s="38"/>
      <c r="K31" s="736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37"/>
    </row>
    <row r="32" spans="2:24" ht="22.95" customHeight="1">
      <c r="B32" s="46"/>
      <c r="C32" s="651"/>
      <c r="D32" s="651"/>
      <c r="E32" s="652"/>
      <c r="F32" s="930"/>
      <c r="G32" s="930"/>
      <c r="H32" s="1050"/>
      <c r="I32" s="38"/>
      <c r="K32" s="736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37"/>
    </row>
    <row r="33" spans="2:24" ht="22.95" customHeight="1" thickBot="1">
      <c r="B33" s="46"/>
      <c r="C33" s="599"/>
      <c r="D33" s="599"/>
      <c r="E33" s="97" t="s">
        <v>518</v>
      </c>
      <c r="F33" s="69">
        <f>SUM(F17:F32)</f>
        <v>0</v>
      </c>
      <c r="G33" s="69">
        <f>SUM(G17:G32)</f>
        <v>0</v>
      </c>
      <c r="H33" s="30"/>
      <c r="I33" s="38"/>
      <c r="K33" s="736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37"/>
    </row>
    <row r="34" spans="2:24" ht="22.95" customHeight="1">
      <c r="B34" s="46"/>
      <c r="C34" s="599"/>
      <c r="D34" s="599"/>
      <c r="E34" s="599"/>
      <c r="F34" s="96"/>
      <c r="G34" s="96"/>
      <c r="H34" s="30"/>
      <c r="I34" s="38"/>
      <c r="K34" s="736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37"/>
    </row>
    <row r="35" spans="2:24" ht="22.95" customHeight="1" thickBot="1">
      <c r="B35" s="49"/>
      <c r="C35" s="1154"/>
      <c r="D35" s="1154"/>
      <c r="E35" s="1154"/>
      <c r="F35" s="25"/>
      <c r="G35" s="25"/>
      <c r="H35" s="50"/>
      <c r="I35" s="51"/>
      <c r="K35" s="738"/>
      <c r="L35" s="739"/>
      <c r="M35" s="739"/>
      <c r="N35" s="739"/>
      <c r="O35" s="739"/>
      <c r="P35" s="739"/>
      <c r="Q35" s="739"/>
      <c r="R35" s="739"/>
      <c r="S35" s="739"/>
      <c r="T35" s="739"/>
      <c r="U35" s="739"/>
      <c r="V35" s="739"/>
      <c r="W35" s="739"/>
      <c r="X35" s="740"/>
    </row>
    <row r="36" spans="2:24" ht="22.95" customHeight="1">
      <c r="J36" s="31" t="s">
        <v>179</v>
      </c>
    </row>
    <row r="37" spans="2:24" ht="13.2">
      <c r="C37" s="52" t="s">
        <v>52</v>
      </c>
      <c r="D37" s="52"/>
      <c r="H37" s="29" t="s">
        <v>895</v>
      </c>
    </row>
    <row r="38" spans="2:24" ht="13.2">
      <c r="C38" s="52" t="s">
        <v>54</v>
      </c>
      <c r="D38" s="52"/>
    </row>
    <row r="39" spans="2:24" ht="13.2">
      <c r="C39" s="52" t="s">
        <v>55</v>
      </c>
      <c r="D39" s="52"/>
    </row>
    <row r="40" spans="2:24" ht="13.2">
      <c r="C40" s="52" t="s">
        <v>56</v>
      </c>
      <c r="D40" s="52"/>
    </row>
    <row r="41" spans="2:24" ht="13.2">
      <c r="C41" s="52" t="s">
        <v>57</v>
      </c>
      <c r="D41" s="52"/>
    </row>
  </sheetData>
  <sheetProtection algorithmName="SHA-512" hashValue="vtepCJNz8tgJljVGmWYcqwM6laO+9ZkJ2xOTEyF4kG5W2j3rJCl6DzxblVCRIbYOVDie+QVznPW3B8k17Dvc5w==" saltValue="dCnhm77/Lv29rX6HHafsTw==" spinCount="100000" sheet="1" insertRows="0"/>
  <mergeCells count="4">
    <mergeCell ref="C35:E35"/>
    <mergeCell ref="H6:H7"/>
    <mergeCell ref="E9:H9"/>
    <mergeCell ref="C12:E12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2:N92"/>
  <sheetViews>
    <sheetView zoomScale="60" zoomScaleNormal="60" workbookViewId="0">
      <pane ySplit="14" topLeftCell="A15" activePane="bottomLeft" state="frozen"/>
      <selection activeCell="A4" sqref="A4"/>
      <selection pane="bottomLeft" activeCell="H50" sqref="H50"/>
    </sheetView>
  </sheetViews>
  <sheetFormatPr baseColWidth="10" defaultColWidth="10.54296875" defaultRowHeight="22.95" customHeight="1"/>
  <cols>
    <col min="1" max="1" width="3" style="138" customWidth="1"/>
    <col min="2" max="2" width="3.1796875" style="138" customWidth="1"/>
    <col min="3" max="3" width="12.1796875" style="138" customWidth="1"/>
    <col min="4" max="4" width="75" style="138" customWidth="1"/>
    <col min="5" max="7" width="39.453125" style="138" customWidth="1"/>
    <col min="8" max="8" width="45.54296875" style="138" customWidth="1"/>
    <col min="9" max="9" width="3.54296875" style="138" customWidth="1"/>
    <col min="10" max="10" width="10.54296875" style="138"/>
    <col min="11" max="11" width="4.1796875" style="138" customWidth="1"/>
    <col min="12" max="12" width="9.54296875" style="138" customWidth="1"/>
    <col min="13" max="13" width="11" style="138" customWidth="1"/>
    <col min="14" max="14" width="11.54296875" style="138" bestFit="1" customWidth="1"/>
    <col min="15" max="16384" width="10.54296875" style="138"/>
  </cols>
  <sheetData>
    <row r="2" spans="1:9" ht="22.95" customHeight="1">
      <c r="A2" s="339"/>
      <c r="B2" s="339"/>
      <c r="C2" s="339"/>
      <c r="D2" s="318" t="str">
        <f>_GENERAL!D2</f>
        <v>Área de la Presidenta: Igualdad y Diversidad, Hacienda y Proyectos Estratégicos</v>
      </c>
      <c r="E2" s="339"/>
      <c r="F2" s="339"/>
      <c r="G2" s="339"/>
      <c r="H2" s="339"/>
      <c r="I2" s="339"/>
    </row>
    <row r="3" spans="1:9" ht="22.95" customHeight="1">
      <c r="A3" s="339"/>
      <c r="B3" s="339"/>
      <c r="C3" s="339"/>
      <c r="D3" s="318" t="str">
        <f>_GENERAL!D3</f>
        <v>Dirección Insular de Hacienda</v>
      </c>
      <c r="E3" s="339"/>
      <c r="F3" s="339"/>
      <c r="G3" s="339"/>
      <c r="H3" s="339"/>
      <c r="I3" s="339"/>
    </row>
    <row r="4" spans="1:9" ht="22.95" customHeight="1" thickBot="1">
      <c r="A4" s="339"/>
      <c r="B4" s="339"/>
      <c r="C4" s="339"/>
      <c r="D4" s="339"/>
      <c r="E4" s="339"/>
      <c r="F4" s="339"/>
      <c r="G4" s="339"/>
      <c r="H4" s="339"/>
      <c r="I4" s="339"/>
    </row>
    <row r="5" spans="1:9" ht="9" customHeight="1">
      <c r="A5" s="339"/>
      <c r="B5" s="290" t="s">
        <v>58</v>
      </c>
      <c r="C5" s="913"/>
      <c r="D5" s="913"/>
      <c r="E5" s="913"/>
      <c r="F5" s="913"/>
      <c r="G5" s="913"/>
      <c r="H5" s="913"/>
      <c r="I5" s="914"/>
    </row>
    <row r="6" spans="1:9" ht="30" customHeight="1">
      <c r="A6" s="339"/>
      <c r="B6" s="915"/>
      <c r="C6" s="1" t="s">
        <v>2</v>
      </c>
      <c r="D6" s="9"/>
      <c r="E6" s="9"/>
      <c r="F6" s="9"/>
      <c r="G6" s="339"/>
      <c r="H6" s="1138">
        <f>ejercicio</f>
        <v>2025</v>
      </c>
      <c r="I6" s="916"/>
    </row>
    <row r="7" spans="1:9" ht="30" customHeight="1">
      <c r="A7" s="339"/>
      <c r="B7" s="915"/>
      <c r="C7" s="1" t="s">
        <v>3</v>
      </c>
      <c r="D7" s="339"/>
      <c r="E7" s="339"/>
      <c r="F7" s="339"/>
      <c r="G7" s="339"/>
      <c r="H7" s="1138">
        <v>2018</v>
      </c>
      <c r="I7" s="916"/>
    </row>
    <row r="8" spans="1:9" ht="30" customHeight="1">
      <c r="A8" s="339"/>
      <c r="B8" s="915"/>
      <c r="C8" s="339"/>
      <c r="D8" s="339"/>
      <c r="E8" s="339"/>
      <c r="F8" s="339"/>
      <c r="G8" s="339"/>
      <c r="H8" s="7"/>
      <c r="I8" s="916"/>
    </row>
    <row r="9" spans="1:9" ht="30" customHeight="1">
      <c r="A9" s="339"/>
      <c r="B9" s="915"/>
      <c r="C9" s="20" t="s">
        <v>59</v>
      </c>
      <c r="D9" s="1146" t="str">
        <f>Entidad</f>
        <v>Fundación Canaria TENERIFE RURAL</v>
      </c>
      <c r="E9" s="1146"/>
      <c r="F9" s="1146"/>
      <c r="G9" s="1146"/>
      <c r="H9" s="1146"/>
      <c r="I9" s="916"/>
    </row>
    <row r="10" spans="1:9" ht="7.2" customHeight="1">
      <c r="A10" s="339"/>
      <c r="B10" s="915"/>
      <c r="C10" s="339"/>
      <c r="D10" s="339"/>
      <c r="E10" s="339"/>
      <c r="F10" s="339"/>
      <c r="G10" s="339"/>
      <c r="H10" s="917"/>
      <c r="I10" s="916"/>
    </row>
    <row r="11" spans="1:9" s="1" customFormat="1" ht="30" customHeight="1">
      <c r="B11" s="10"/>
      <c r="C11" s="288" t="s">
        <v>60</v>
      </c>
      <c r="D11" s="289"/>
      <c r="E11" s="289"/>
      <c r="F11" s="289"/>
      <c r="G11" s="289"/>
      <c r="H11" s="289"/>
      <c r="I11" s="11"/>
    </row>
    <row r="12" spans="1:9" ht="22.95" customHeight="1">
      <c r="A12" s="339"/>
      <c r="B12" s="915"/>
      <c r="C12" s="339"/>
      <c r="D12" s="339"/>
      <c r="E12" s="339"/>
      <c r="F12" s="339"/>
      <c r="G12" s="339"/>
      <c r="H12" s="339"/>
      <c r="I12" s="916"/>
    </row>
    <row r="13" spans="1:9" ht="22.95" customHeight="1">
      <c r="A13" s="339"/>
      <c r="B13" s="915"/>
      <c r="C13" s="339"/>
      <c r="D13" s="339"/>
      <c r="E13" s="286" t="s">
        <v>61</v>
      </c>
      <c r="F13" s="286" t="s">
        <v>62</v>
      </c>
      <c r="G13" s="286" t="s">
        <v>63</v>
      </c>
      <c r="H13" s="286" t="s">
        <v>64</v>
      </c>
      <c r="I13" s="916"/>
    </row>
    <row r="14" spans="1:9" ht="22.95" customHeight="1">
      <c r="A14" s="339"/>
      <c r="B14" s="915"/>
      <c r="C14" s="339"/>
      <c r="D14" s="339"/>
      <c r="E14" s="287">
        <f>ejercicio-2</f>
        <v>2023</v>
      </c>
      <c r="F14" s="287">
        <f>ejercicio-1</f>
        <v>2024</v>
      </c>
      <c r="G14" s="287">
        <f>ejercicio-1</f>
        <v>2024</v>
      </c>
      <c r="H14" s="287">
        <f>ejercicio</f>
        <v>2025</v>
      </c>
      <c r="I14" s="916"/>
    </row>
    <row r="15" spans="1:9" ht="22.95" customHeight="1" thickBot="1">
      <c r="A15" s="339"/>
      <c r="B15" s="915"/>
      <c r="C15" s="841" t="s">
        <v>65</v>
      </c>
      <c r="D15" s="841"/>
      <c r="E15" s="842"/>
      <c r="F15" s="842"/>
      <c r="G15" s="842"/>
      <c r="H15" s="842"/>
      <c r="I15" s="916"/>
    </row>
    <row r="16" spans="1:9" ht="33" customHeight="1">
      <c r="A16" s="339"/>
      <c r="B16" s="915"/>
      <c r="C16" s="743" t="s">
        <v>66</v>
      </c>
      <c r="D16" s="743"/>
      <c r="E16" s="787"/>
      <c r="F16" s="787"/>
      <c r="G16" s="787"/>
      <c r="H16" s="839" t="str">
        <f>IF(Entidad="","Selecciona el nombre de la EE.DD. en GENERAL","Ok")</f>
        <v>Ok</v>
      </c>
      <c r="I16" s="916"/>
    </row>
    <row r="17" spans="1:14" ht="30" customHeight="1">
      <c r="A17" s="339"/>
      <c r="B17" s="915"/>
      <c r="C17" s="320" t="s">
        <v>67</v>
      </c>
      <c r="D17" s="320"/>
      <c r="E17" s="321"/>
      <c r="F17" s="321"/>
      <c r="G17" s="321"/>
      <c r="H17" s="839" t="str">
        <f>IF('FC-1_ORGANOS_GOBIERNO'!Z38&gt;=1,"Mal, revisa datos en FC-1","Ok")</f>
        <v>Ok</v>
      </c>
      <c r="I17" s="916"/>
      <c r="J17" s="339"/>
      <c r="K17" s="339"/>
      <c r="L17" s="339"/>
      <c r="M17" s="339"/>
      <c r="N17" s="339"/>
    </row>
    <row r="18" spans="1:14" ht="30" customHeight="1">
      <c r="A18" s="339"/>
      <c r="B18" s="915"/>
      <c r="C18" s="320" t="s">
        <v>68</v>
      </c>
      <c r="D18" s="320"/>
      <c r="E18" s="321"/>
      <c r="F18" s="321"/>
      <c r="G18" s="321"/>
      <c r="H18" s="839" t="str">
        <f>IF('FC-1_ORGANOS_GOBIERNO'!AD40&gt;=1,"Mal, revisa datos en FC-1","Ok")</f>
        <v>Ok</v>
      </c>
      <c r="I18" s="916"/>
      <c r="J18" s="339"/>
      <c r="K18" s="339"/>
      <c r="L18" s="339"/>
      <c r="M18" s="339"/>
      <c r="N18" s="339"/>
    </row>
    <row r="19" spans="1:14" ht="30" customHeight="1">
      <c r="A19" s="339"/>
      <c r="B19" s="915"/>
      <c r="C19" s="320" t="s">
        <v>69</v>
      </c>
      <c r="D19" s="320"/>
      <c r="E19" s="321"/>
      <c r="F19" s="321"/>
      <c r="G19" s="321"/>
      <c r="H19" s="839" t="str">
        <f>IF('FC-1_ORGANOS_GOBIERNO'!AD41&gt;=1,"Mal, revisa datos en FC-1","Ok")</f>
        <v>Ok</v>
      </c>
      <c r="I19" s="916"/>
      <c r="J19" s="339"/>
      <c r="K19" s="339"/>
      <c r="L19" s="339"/>
      <c r="M19" s="339"/>
      <c r="N19" s="339"/>
    </row>
    <row r="20" spans="1:14" ht="30" customHeight="1">
      <c r="A20" s="339"/>
      <c r="B20" s="915"/>
      <c r="C20" s="320" t="s">
        <v>70</v>
      </c>
      <c r="D20" s="320"/>
      <c r="E20" s="1062"/>
      <c r="F20" s="1062"/>
      <c r="G20" s="1062"/>
      <c r="H20" s="1063" t="str">
        <f>IF('FC-1_ORGANOS_GOBIERNO'!AG22&gt;=1,"Mal, revisa datos en FC-1","Ok")</f>
        <v>Ok</v>
      </c>
      <c r="I20" s="916"/>
      <c r="J20" s="339"/>
      <c r="K20" s="339"/>
      <c r="L20" s="339"/>
      <c r="M20" s="339"/>
      <c r="N20" s="339"/>
    </row>
    <row r="21" spans="1:14" ht="30" customHeight="1" thickBot="1">
      <c r="A21" s="339"/>
      <c r="B21" s="915"/>
      <c r="C21" s="841" t="s">
        <v>71</v>
      </c>
      <c r="D21" s="841"/>
      <c r="E21" s="842"/>
      <c r="F21" s="842"/>
      <c r="G21" s="842"/>
      <c r="H21" s="842"/>
      <c r="I21" s="916"/>
      <c r="J21" s="339"/>
      <c r="K21" s="339"/>
      <c r="L21" s="339"/>
      <c r="M21" s="339"/>
      <c r="N21" s="339"/>
    </row>
    <row r="22" spans="1:14" ht="30" customHeight="1">
      <c r="A22" s="339"/>
      <c r="B22" s="915"/>
      <c r="C22" s="743" t="s">
        <v>72</v>
      </c>
      <c r="D22" s="743"/>
      <c r="E22" s="321"/>
      <c r="F22" s="321"/>
      <c r="G22" s="321"/>
      <c r="H22" s="839" t="str">
        <f>IF('FC-2_ACCIONISTAS'!AG17=1,"Mal, revisa datos de accionista en FC-2","Ok")</f>
        <v>Ok</v>
      </c>
      <c r="I22" s="916"/>
      <c r="J22" s="339"/>
      <c r="K22" s="339"/>
      <c r="L22" s="339"/>
      <c r="M22" s="339"/>
      <c r="N22" s="339"/>
    </row>
    <row r="23" spans="1:14" ht="30" customHeight="1">
      <c r="A23" s="339"/>
      <c r="B23" s="915"/>
      <c r="C23" s="743" t="s">
        <v>73</v>
      </c>
      <c r="D23" s="743"/>
      <c r="E23" s="321"/>
      <c r="F23" s="321"/>
      <c r="G23" s="321"/>
      <c r="H23" s="839" t="str">
        <f>IF(ROUND(SUM('FC-2_ACCIONISTAS'!F17:F28),2)=100%,"Ok","Revisa FC2, la suma del % accionistas no da 100%")</f>
        <v>Ok</v>
      </c>
      <c r="I23" s="916"/>
      <c r="J23" s="339"/>
      <c r="K23" s="339"/>
      <c r="L23" s="339"/>
      <c r="M23" s="339"/>
      <c r="N23" s="339"/>
    </row>
    <row r="24" spans="1:14" ht="30" customHeight="1">
      <c r="A24" s="339"/>
      <c r="B24" s="915"/>
      <c r="C24" s="320" t="s">
        <v>74</v>
      </c>
      <c r="D24" s="320"/>
      <c r="E24" s="321"/>
      <c r="F24" s="321"/>
      <c r="G24" s="321"/>
      <c r="H24" s="839" t="str">
        <f>IF('FC-2_ACCIONISTAS'!AG48=1,"Mal, revisa datos del auditor en FC-2","Ok")</f>
        <v>Ok</v>
      </c>
      <c r="I24" s="916"/>
      <c r="J24" s="339"/>
      <c r="K24" s="339"/>
      <c r="L24" s="339"/>
      <c r="M24" s="339"/>
      <c r="N24" s="339"/>
    </row>
    <row r="25" spans="1:14" ht="30" customHeight="1" thickBot="1">
      <c r="A25" s="339"/>
      <c r="B25" s="915"/>
      <c r="C25" s="841" t="s">
        <v>75</v>
      </c>
      <c r="D25" s="841"/>
      <c r="E25" s="842"/>
      <c r="F25" s="842"/>
      <c r="G25" s="842"/>
      <c r="H25" s="842"/>
      <c r="I25" s="916"/>
      <c r="J25" s="339"/>
      <c r="K25" s="339"/>
      <c r="L25" s="339"/>
      <c r="M25" s="339"/>
      <c r="N25" s="339"/>
    </row>
    <row r="26" spans="1:14" ht="30" customHeight="1">
      <c r="A26" s="339"/>
      <c r="B26" s="915"/>
      <c r="C26" s="320" t="s">
        <v>76</v>
      </c>
      <c r="D26" s="320"/>
      <c r="E26" s="321"/>
      <c r="F26" s="321"/>
      <c r="G26" s="321"/>
      <c r="H26" s="839" t="str">
        <f>IF(ROUND('FC-3_CPyG'!H62,2)&gt;=0,"Ok","Mal, revisa resultado FC-3")</f>
        <v>Ok</v>
      </c>
      <c r="I26" s="916"/>
      <c r="J26" s="339"/>
      <c r="K26" s="339"/>
      <c r="L26" s="339"/>
      <c r="M26" s="339"/>
      <c r="N26" s="339"/>
    </row>
    <row r="27" spans="1:14" s="151" customFormat="1" ht="30" customHeight="1">
      <c r="A27" s="318"/>
      <c r="B27" s="319"/>
      <c r="C27" s="320" t="s">
        <v>77</v>
      </c>
      <c r="D27" s="320"/>
      <c r="E27" s="839" t="str">
        <f>IF(ROUND(('FC-3_CPyG'!E62-'FC-4_PASIVO'!E23),2)=0,"Ok","Mal, revisa FC-3 y FC-4")</f>
        <v>Ok</v>
      </c>
      <c r="F27" s="839" t="str">
        <f>IF(ROUND(('FC-3_CPyG'!F62-'FC-4_PASIVO'!F23),2)=0,"Ok","Mal, revisa FC-3 y FC-4")</f>
        <v>Ok</v>
      </c>
      <c r="G27" s="839" t="str">
        <f>IF(ROUND(('FC-3_CPyG'!G62-'FC-4_PASIVO'!G23),2)=0,"Ok","Mal, revisa FC-3 y FC-4")</f>
        <v>Ok</v>
      </c>
      <c r="H27" s="839" t="str">
        <f>IF(ROUND(('FC-3_CPyG'!H62-'FC-4_PASIVO'!H23),2)=0,"Ok","Mal, revisa FC-3 y FC-4")</f>
        <v>Ok</v>
      </c>
      <c r="I27" s="322"/>
      <c r="J27" s="339"/>
      <c r="K27" s="339"/>
      <c r="L27" s="339"/>
      <c r="M27" s="339"/>
      <c r="N27" s="339"/>
    </row>
    <row r="28" spans="1:14" s="151" customFormat="1" ht="30" customHeight="1">
      <c r="A28" s="318"/>
      <c r="B28" s="319"/>
      <c r="C28" s="320" t="s">
        <v>78</v>
      </c>
      <c r="D28" s="320"/>
      <c r="E28" s="321"/>
      <c r="F28" s="321"/>
      <c r="G28" s="839" t="str">
        <f>IF(ROUND('FC-3_CPyG'!G87,2)=ROUND('FC-4_PASIVO'!G16-'FC-4_PASIVO'!E16,2),"Ok","Revisa FC-3, I) y variación PN FC-4 Pasivo")</f>
        <v>Ok</v>
      </c>
      <c r="H28" s="839" t="str">
        <f>IF(ROUND('FC-3_CPyG'!H87,2)=ROUND('FC-4_PASIVO'!H16-'FC-4_PASIVO'!G16,2),"Ok","Revisa FC-3, I) y variación PN FC-4 Pasivo")</f>
        <v>Ok</v>
      </c>
      <c r="I28" s="322"/>
      <c r="J28" s="339"/>
      <c r="K28" s="339"/>
      <c r="L28" s="339"/>
      <c r="M28" s="339"/>
      <c r="N28" s="339"/>
    </row>
    <row r="29" spans="1:14" s="151" customFormat="1" ht="30" customHeight="1">
      <c r="A29" s="318"/>
      <c r="B29" s="319"/>
      <c r="C29" s="320" t="s">
        <v>79</v>
      </c>
      <c r="D29" s="320"/>
      <c r="E29" s="321"/>
      <c r="F29" s="321"/>
      <c r="G29" s="321"/>
      <c r="H29" s="839" t="str">
        <f>IF(ROUND('FC-3_CPyG'!H16+'FC-3_CPyG'!H22-'FC-3_1_INF_ADIC_CPyG'!E47,2)=0,"Ok","Mal, revisa datos en FC-3 PyG y FC3.1")</f>
        <v>Ok</v>
      </c>
      <c r="I29" s="322"/>
      <c r="J29" s="339"/>
      <c r="K29" s="339"/>
      <c r="L29" s="339"/>
      <c r="M29" s="339"/>
      <c r="N29" s="339"/>
    </row>
    <row r="30" spans="1:14" s="151" customFormat="1" ht="30" customHeight="1">
      <c r="A30" s="318"/>
      <c r="B30" s="319"/>
      <c r="C30" s="320" t="s">
        <v>80</v>
      </c>
      <c r="D30" s="320"/>
      <c r="E30" s="321"/>
      <c r="F30" s="321"/>
      <c r="G30" s="321"/>
      <c r="H30" s="839" t="str">
        <f>IF(ROUND('FC-3_CPyG'!H31-'FC-3_1_INF_ADIC_CPyG'!E77,2)=0,"Ok","Mal, revísa datos en FC-3 y FC-3.1")</f>
        <v>Ok</v>
      </c>
      <c r="I30" s="322"/>
      <c r="J30" s="339"/>
      <c r="K30" s="339"/>
      <c r="L30" s="339"/>
      <c r="M30" s="339"/>
      <c r="N30" s="339"/>
    </row>
    <row r="31" spans="1:14" s="151" customFormat="1" ht="30" customHeight="1">
      <c r="A31" s="318"/>
      <c r="B31" s="319"/>
      <c r="C31" s="923" t="s">
        <v>81</v>
      </c>
      <c r="D31" s="923"/>
      <c r="E31" s="321"/>
      <c r="F31" s="321"/>
      <c r="G31" s="321"/>
      <c r="H31" s="839" t="str">
        <f>IF(ROUND(-'FC-3_CPyG'!H33-'FC-13_PERSONAL'!F31,2)=0,"Ok","Mal, revísa dato en FC-3 CPyG y FC-13")</f>
        <v>Ok</v>
      </c>
      <c r="I31" s="322"/>
      <c r="J31" s="339"/>
      <c r="K31" s="339"/>
      <c r="L31" s="339"/>
      <c r="M31" s="339"/>
      <c r="N31" s="339"/>
    </row>
    <row r="32" spans="1:14" s="151" customFormat="1" ht="30" customHeight="1">
      <c r="A32" s="318"/>
      <c r="B32" s="319"/>
      <c r="C32" s="743" t="s">
        <v>82</v>
      </c>
      <c r="D32" s="743"/>
      <c r="E32" s="321"/>
      <c r="F32" s="321"/>
      <c r="G32" s="321"/>
      <c r="H32" s="839" t="str">
        <f>IF(ROUND('FC-3_CPyG'!H44-'FC-3_1_INF_ADIC_CPyG'!E51-'FC-3_1_INF_ADIC_CPyG'!E60,2)=0,"Ok","Mal, revisa datos en FC-3 CPYG y FC-3.1")</f>
        <v>Ok</v>
      </c>
      <c r="I32" s="322"/>
      <c r="J32" s="339"/>
      <c r="K32" s="339"/>
      <c r="L32" s="339"/>
      <c r="M32" s="339"/>
      <c r="N32" s="339"/>
    </row>
    <row r="33" spans="1:14" s="151" customFormat="1" ht="30" customHeight="1" thickBot="1">
      <c r="A33" s="318"/>
      <c r="B33" s="319"/>
      <c r="C33" s="841" t="s">
        <v>83</v>
      </c>
      <c r="D33" s="841"/>
      <c r="E33" s="321"/>
      <c r="F33" s="321"/>
      <c r="G33" s="842"/>
      <c r="H33" s="842"/>
      <c r="I33" s="322"/>
      <c r="J33" s="339"/>
      <c r="K33" s="339"/>
      <c r="L33" s="339"/>
      <c r="M33" s="339"/>
      <c r="N33" s="339"/>
    </row>
    <row r="34" spans="1:14" s="151" customFormat="1" ht="30" customHeight="1">
      <c r="A34" s="318"/>
      <c r="B34" s="319"/>
      <c r="C34" s="320" t="s">
        <v>84</v>
      </c>
      <c r="D34" s="320"/>
      <c r="E34" s="839" t="str">
        <f>IF(ROUND('FC-4_ACTIVO'!E36-'FC-4_PASIVO'!E58,2)=0,"Ok","Mal, revisa FC-4")</f>
        <v>Ok</v>
      </c>
      <c r="F34" s="839" t="str">
        <f>IF(ROUND('FC-4_ACTIVO'!F36-'FC-4_PASIVO'!F58,2)=0,"Ok","Mal, revisa FC-4")</f>
        <v>Ok</v>
      </c>
      <c r="G34" s="839" t="str">
        <f>IF(ROUND('FC-4_ACTIVO'!G36-'FC-4_PASIVO'!G58,2)=0,"Ok","Mal, revisa FC-4")</f>
        <v>Ok</v>
      </c>
      <c r="H34" s="839" t="str">
        <f>IF(ROUND('FC-4_ACTIVO'!H36-'FC-4_PASIVO'!H58,2)=0,"Ok","Mal, revisa FC-4")</f>
        <v>Ok</v>
      </c>
      <c r="I34" s="322"/>
      <c r="J34" s="339"/>
      <c r="K34" s="339"/>
      <c r="L34" s="339"/>
      <c r="M34" s="339"/>
      <c r="N34" s="339"/>
    </row>
    <row r="35" spans="1:14" s="151" customFormat="1" ht="30" customHeight="1">
      <c r="A35" s="318"/>
      <c r="B35" s="319"/>
      <c r="C35" s="320" t="s">
        <v>85</v>
      </c>
      <c r="D35" s="320"/>
      <c r="E35" s="839" t="str">
        <f>IF(('FC-4_PASIVO'!E16+'FC-4_PASIVO'!E27-'FC-4_ACTIVO'!E16)&lt;0,"El F.M. es negativo, se requiere análisis en memoria","Ok")</f>
        <v>Ok</v>
      </c>
      <c r="F35" s="839" t="str">
        <f>IF(('FC-4_PASIVO'!F16+'FC-4_PASIVO'!F27-'FC-4_ACTIVO'!F16)&lt;0,"El F.M. es negativo, se requiere análisis en memoria","Ok")</f>
        <v>Ok</v>
      </c>
      <c r="G35" s="839" t="str">
        <f>IF(('FC-4_PASIVO'!G16+'FC-4_PASIVO'!G27-'FC-4_ACTIVO'!G16)&lt;0,"El F.M. es negativo, se requiere análisis en memoria","Ok")</f>
        <v>Ok</v>
      </c>
      <c r="H35" s="839" t="str">
        <f>IF(('FC-4_PASIVO'!H16+'FC-4_PASIVO'!H27-'FC-4_ACTIVO'!H16)&lt;0,"El F.M. es negativo, se requiere análisis en memoria","Ok")</f>
        <v>Ok</v>
      </c>
      <c r="I35" s="322"/>
      <c r="J35" s="339"/>
      <c r="K35" s="339"/>
      <c r="L35" s="339"/>
      <c r="M35" s="339"/>
      <c r="N35" s="339"/>
    </row>
    <row r="36" spans="1:14" s="151" customFormat="1" ht="30" customHeight="1" thickBot="1">
      <c r="A36" s="318"/>
      <c r="B36" s="319"/>
      <c r="C36" s="841" t="s">
        <v>86</v>
      </c>
      <c r="D36" s="841"/>
      <c r="E36" s="842"/>
      <c r="F36" s="842"/>
      <c r="G36" s="842"/>
      <c r="H36" s="842"/>
      <c r="I36" s="322"/>
      <c r="J36" s="339"/>
      <c r="K36" s="339"/>
      <c r="L36" s="339"/>
      <c r="M36" s="339"/>
      <c r="N36" s="339"/>
    </row>
    <row r="37" spans="1:14" s="151" customFormat="1" ht="30" customHeight="1">
      <c r="A37" s="318"/>
      <c r="B37" s="319"/>
      <c r="C37" s="320" t="s">
        <v>87</v>
      </c>
      <c r="D37" s="320"/>
      <c r="E37" s="321"/>
      <c r="F37" s="321"/>
      <c r="G37" s="321"/>
      <c r="H37" s="839" t="str">
        <f>IF(ROUND('FC-6_Inversiones'!G46-SUM('FC-6_Inversiones'!H46:M46),2)=0,"Ok","Mal, revisa totales FC-6")</f>
        <v>Ok</v>
      </c>
      <c r="I37" s="322"/>
      <c r="J37" s="339"/>
      <c r="K37" s="339"/>
      <c r="L37" s="339"/>
      <c r="M37" s="339"/>
      <c r="N37" s="339"/>
    </row>
    <row r="38" spans="1:14" s="151" customFormat="1" ht="30" customHeight="1">
      <c r="A38" s="318"/>
      <c r="B38" s="319"/>
      <c r="C38" s="320" t="s">
        <v>88</v>
      </c>
      <c r="D38" s="320"/>
      <c r="E38" s="321"/>
      <c r="F38" s="321"/>
      <c r="G38" s="839" t="str">
        <f>IF(ROUND('FC-4_ACTIVO'!G17-'FC-7_INF'!M15,2)=0,"Ok","Mal, revisa FC-4 ACTIVO y FC-7")</f>
        <v>Ok</v>
      </c>
      <c r="H38" s="839" t="str">
        <f>IF(ROUND('FC-4_ACTIVO'!H17-'FC-7_INF'!M26,2)=0,"Ok","Mal, revisa FC-4 ACTIVO y FC-7")</f>
        <v>Ok</v>
      </c>
      <c r="I38" s="322"/>
      <c r="J38" s="339"/>
      <c r="K38" s="339"/>
      <c r="L38" s="339"/>
      <c r="M38" s="339"/>
      <c r="N38" s="339"/>
    </row>
    <row r="39" spans="1:14" s="151" customFormat="1" ht="30" customHeight="1">
      <c r="A39" s="318"/>
      <c r="B39" s="319"/>
      <c r="C39" s="320" t="s">
        <v>89</v>
      </c>
      <c r="D39" s="320"/>
      <c r="E39" s="321"/>
      <c r="F39" s="321"/>
      <c r="G39" s="839" t="str">
        <f>IF(ROUND('FC-4_ACTIVO'!G19-'FC-7_INF'!M16-'FC-7_INF'!M17,2)=0,"Ok","Mal, revisa FC-4 ACTIVO y FC-7")</f>
        <v>Ok</v>
      </c>
      <c r="H39" s="839" t="str">
        <f>IF(ROUND('FC-4_ACTIVO'!H19-'FC-7_INF'!M27-'FC-7_INF'!M28,2)=0,"Ok","Mal, revisa FC-4 ACTIVO y FC-7")</f>
        <v>Ok</v>
      </c>
      <c r="I39" s="322"/>
      <c r="J39" s="339"/>
      <c r="K39" s="339"/>
      <c r="L39" s="339"/>
      <c r="M39" s="339"/>
      <c r="N39" s="339"/>
    </row>
    <row r="40" spans="1:14" s="151" customFormat="1" ht="30" customHeight="1">
      <c r="A40" s="318"/>
      <c r="B40" s="319"/>
      <c r="C40" s="320" t="s">
        <v>90</v>
      </c>
      <c r="D40" s="320"/>
      <c r="E40" s="321"/>
      <c r="F40" s="321"/>
      <c r="G40" s="839" t="str">
        <f>IF(ROUND(('FC-4_ACTIVO'!G20-'FC-7_INF'!M18-'FC-7_INF'!M19),2)=0,"Ok","Mal, revisa FC-4 ACTIVO y FC-7")</f>
        <v>Ok</v>
      </c>
      <c r="H40" s="839" t="str">
        <f>IF(ROUND(('FC-4_ACTIVO'!H20-'FC-7_INF'!M29-'FC-7_INF'!M30),2)=0,"Ok","Mal, revisa FC-4 ACTIVO y FC-7")</f>
        <v>Ok</v>
      </c>
      <c r="I40" s="322"/>
      <c r="J40" s="339"/>
      <c r="K40" s="339"/>
      <c r="L40" s="339"/>
      <c r="M40" s="339"/>
      <c r="N40" s="339"/>
    </row>
    <row r="41" spans="1:14" s="151" customFormat="1" ht="30" customHeight="1">
      <c r="A41" s="318"/>
      <c r="B41" s="319"/>
      <c r="C41" s="320" t="s">
        <v>91</v>
      </c>
      <c r="D41" s="320"/>
      <c r="E41" s="321"/>
      <c r="F41" s="321"/>
      <c r="G41" s="839" t="str">
        <f>IF(ROUND('FC-7_INF'!M22-'FC-4_ACTIVO'!G26,2)=0,"Ok","Mal, revisa FC-4 ACTIVO y FC-7")</f>
        <v>Ok</v>
      </c>
      <c r="H41" s="839" t="str">
        <f>IF(ROUND('FC-7_INF'!M33-'FC-4_ACTIVO'!H26,2)=0,"Ok","Mal, revisa FC-4 ACTIVO y FC-7")</f>
        <v>Ok</v>
      </c>
      <c r="I41" s="322"/>
      <c r="J41" s="339"/>
      <c r="K41" s="339"/>
      <c r="L41" s="339"/>
      <c r="M41" s="339"/>
      <c r="N41" s="339"/>
    </row>
    <row r="42" spans="1:14" s="151" customFormat="1" ht="30" customHeight="1">
      <c r="A42" s="318"/>
      <c r="B42" s="319"/>
      <c r="C42" s="320" t="s">
        <v>92</v>
      </c>
      <c r="D42" s="320"/>
      <c r="E42" s="321"/>
      <c r="F42" s="321"/>
      <c r="G42" s="839" t="str">
        <f>IF(ROUND('FC-3_CPyG'!G40-'FC-7_INF'!I20,2)=0,"Ok","Mal, revisa datos en FC-3 y FC-7")</f>
        <v>Ok</v>
      </c>
      <c r="H42" s="839" t="str">
        <f>IF(ROUND('FC-3_CPyG'!H40-'FC-7_INF'!I31,2)=0,"Ok","Mal, revisa datos en FC-3 y FC-7")</f>
        <v>Ok</v>
      </c>
      <c r="I42" s="322"/>
      <c r="J42" s="339"/>
      <c r="K42" s="339"/>
      <c r="L42" s="339"/>
      <c r="M42" s="339"/>
      <c r="N42" s="339"/>
    </row>
    <row r="43" spans="1:14" s="151" customFormat="1" ht="30" customHeight="1">
      <c r="A43" s="318"/>
      <c r="B43" s="319"/>
      <c r="C43" s="320" t="s">
        <v>93</v>
      </c>
      <c r="D43" s="320"/>
      <c r="E43" s="321"/>
      <c r="F43" s="321"/>
      <c r="G43" s="321"/>
      <c r="H43" s="839" t="str">
        <f>IF(ROUND('FC-6_Inversiones'!I46-'FC-7_INF'!F31,2)=0,"Ok","Mal, revisa I46 en FC-6 y F31 en FC-7")</f>
        <v>Ok</v>
      </c>
      <c r="I43" s="322"/>
      <c r="J43" s="339"/>
      <c r="K43" s="339"/>
      <c r="L43" s="339"/>
      <c r="M43" s="339"/>
      <c r="N43" s="339"/>
    </row>
    <row r="44" spans="1:14" s="151" customFormat="1" ht="30" customHeight="1" thickBot="1">
      <c r="A44" s="318"/>
      <c r="B44" s="319"/>
      <c r="C44" s="841" t="s">
        <v>94</v>
      </c>
      <c r="D44" s="841"/>
      <c r="E44" s="842"/>
      <c r="F44" s="842"/>
      <c r="G44" s="842"/>
      <c r="H44" s="842"/>
      <c r="I44" s="322"/>
      <c r="J44" s="339"/>
      <c r="K44" s="339"/>
      <c r="L44" s="339"/>
      <c r="M44" s="339"/>
      <c r="N44" s="339"/>
    </row>
    <row r="45" spans="1:14" s="151" customFormat="1" ht="30" customHeight="1">
      <c r="A45" s="318"/>
      <c r="B45" s="319"/>
      <c r="C45" s="320" t="s">
        <v>95</v>
      </c>
      <c r="D45" s="924"/>
      <c r="E45" s="925"/>
      <c r="F45" s="925"/>
      <c r="G45" s="839" t="str">
        <f>IF(ROUND(('FC-4_ACTIVO'!G21+'FC-4_ACTIVO'!G31)-('FC-8_INV_FINANCIERAS'!F25+'FC-8_INV_FINANCIERAS'!F34),2)=0,"Ok","Mal, revisa datos en FC-4 Activo y FC-8")</f>
        <v>Ok</v>
      </c>
      <c r="H45" s="839" t="str">
        <f>IF(ROUND(('FC-4_ACTIVO'!H21+'FC-4_ACTIVO'!H31)-('FC-8_INV_FINANCIERAS'!J25+'FC-8_INV_FINANCIERAS'!J34),2)=0,"Ok","Mal, revisa datos en FC-4 Activo y FC-8")</f>
        <v>Ok</v>
      </c>
      <c r="I45" s="322"/>
      <c r="J45" s="339"/>
      <c r="K45" s="339"/>
      <c r="L45" s="339"/>
      <c r="M45" s="339"/>
      <c r="N45" s="339"/>
    </row>
    <row r="46" spans="1:14" s="151" customFormat="1" ht="30" customHeight="1">
      <c r="A46" s="318"/>
      <c r="B46" s="319"/>
      <c r="C46" s="320" t="s">
        <v>96</v>
      </c>
      <c r="D46" s="924"/>
      <c r="E46" s="925"/>
      <c r="F46" s="925"/>
      <c r="G46" s="839" t="str">
        <f>IF(ROUND(('FC-4_ACTIVO'!G22+'FC-4_ACTIVO'!G32)-('FC-8_INV_FINANCIERAS'!F49+'FC-8_INV_FINANCIERAS'!F58),2)=0,"Ok","Mal, revisa datos en FC-4 Activo y en FC-8")</f>
        <v>Ok</v>
      </c>
      <c r="H46" s="839" t="str">
        <f>IF(ROUND(('FC-4_ACTIVO'!H22+'FC-4_ACTIVO'!H32)-('FC-8_INV_FINANCIERAS'!J49+'FC-8_INV_FINANCIERAS'!J58),2)=0,"Ok","Mal, revisa datos en FC-4 Activo y en FC-8")</f>
        <v>Ok</v>
      </c>
      <c r="I46" s="322"/>
      <c r="J46" s="339"/>
      <c r="K46" s="339"/>
      <c r="L46" s="339"/>
      <c r="M46" s="339"/>
      <c r="N46" s="339"/>
    </row>
    <row r="47" spans="1:14" s="151" customFormat="1" ht="30" customHeight="1" thickBot="1">
      <c r="A47" s="318"/>
      <c r="B47" s="319"/>
      <c r="C47" s="841" t="s">
        <v>97</v>
      </c>
      <c r="D47" s="841"/>
      <c r="E47" s="842"/>
      <c r="F47" s="842"/>
      <c r="G47" s="842"/>
      <c r="H47" s="842"/>
      <c r="I47" s="322"/>
      <c r="J47" s="339"/>
      <c r="K47" s="339"/>
      <c r="L47" s="339"/>
      <c r="M47" s="339"/>
      <c r="N47" s="339"/>
    </row>
    <row r="48" spans="1:14" s="151" customFormat="1" ht="30" customHeight="1">
      <c r="A48" s="318"/>
      <c r="B48" s="319"/>
      <c r="C48" s="320" t="s">
        <v>98</v>
      </c>
      <c r="D48" s="320"/>
      <c r="E48" s="925"/>
      <c r="F48" s="925"/>
      <c r="G48" s="839" t="str">
        <f>IF(ROUND('FC-9_TRANS_SUBV'!G41-'FC-9_TRANS_SUBV'!H41-'FC-9_TRANS_SUBV'!I41,2)=0,"Ok","Mal, revisa en FC-9 línea original 31")</f>
        <v>Ok</v>
      </c>
      <c r="H48" s="839" t="str">
        <f>IF(ROUND('FC-9_TRANS_SUBV'!J41-'FC-9_TRANS_SUBV'!K41-'FC-9_TRANS_SUBV'!L41,2)=0,"Ok","Mal, revisa en FC-9 línea original 31")</f>
        <v>Ok</v>
      </c>
      <c r="I48" s="322"/>
      <c r="J48" s="339"/>
      <c r="K48" s="339"/>
      <c r="L48" s="339"/>
      <c r="M48" s="339"/>
      <c r="N48" s="339"/>
    </row>
    <row r="49" spans="1:14" s="151" customFormat="1" ht="30" customHeight="1">
      <c r="A49" s="318"/>
      <c r="B49" s="319"/>
      <c r="C49" s="320" t="s">
        <v>99</v>
      </c>
      <c r="D49" s="320"/>
      <c r="E49" s="321"/>
      <c r="F49" s="321"/>
      <c r="G49" s="839" t="str">
        <f>IF(ROUND('FC-4_PASIVO'!G25-'FC-9_TRANS_SUBV'!H44,2)=0,"Ok","Mal, revisa FC-4 PASIVO y FC-9")</f>
        <v>Ok</v>
      </c>
      <c r="H49" s="839" t="str">
        <f>IF(ROUND('FC-4_PASIVO'!H25-'FC-9_TRANS_SUBV'!K44,2)=0,"Ok","Mal, revisa FC-4 PASIVO y FC-9")</f>
        <v>Ok</v>
      </c>
      <c r="I49" s="322"/>
      <c r="J49" s="339"/>
      <c r="K49" s="339"/>
      <c r="L49" s="339"/>
      <c r="M49" s="339"/>
      <c r="N49" s="339"/>
    </row>
    <row r="50" spans="1:14" s="318" customFormat="1" ht="30" customHeight="1">
      <c r="B50" s="319"/>
      <c r="C50" s="320" t="s">
        <v>100</v>
      </c>
      <c r="D50" s="320"/>
      <c r="E50" s="321"/>
      <c r="F50" s="321"/>
      <c r="G50" s="839" t="str">
        <f>IF(ROUND('FC-4_PASIVO'!G37-'FC-9_TRANS_SUBV'!I44,2)=0,"Ok","Mal, revisa FC-4 PASIVO y FC-9")</f>
        <v>Ok</v>
      </c>
      <c r="H50" s="839" t="str">
        <f>IF(ROUND('FC-4_PASIVO'!H37-'FC-9_TRANS_SUBV'!L44,2)=0,"Ok","Mal, revisa FC-4 PASIVO y FC-9")</f>
        <v>Ok</v>
      </c>
      <c r="I50" s="322"/>
      <c r="L50" s="657"/>
      <c r="M50" s="657"/>
      <c r="N50" s="657"/>
    </row>
    <row r="51" spans="1:14" s="318" customFormat="1" ht="30" customHeight="1">
      <c r="B51" s="319"/>
      <c r="C51" s="320" t="s">
        <v>101</v>
      </c>
      <c r="D51" s="320"/>
      <c r="E51" s="321"/>
      <c r="F51" s="321"/>
      <c r="G51" s="839" t="str">
        <f>IF(ROUND('FC-3_CPyG'!G41+('FC-9_TRANS_SUBV'!G43),2)=0,"Ok","Mal, revisa datos FC-3 epígr. A) 11. y FC-9 celda H45")</f>
        <v>Ok</v>
      </c>
      <c r="H51" s="839" t="str">
        <f>IF(ROUND('FC-3_CPyG'!H41+('FC-9_TRANS_SUBV'!J43),2)=0,"Ok","Mal, revisa datos FC-3 epígr. A) 11 y FC-9 celda K45")</f>
        <v>Ok</v>
      </c>
      <c r="I51" s="322"/>
      <c r="J51" s="339"/>
      <c r="K51" s="339"/>
      <c r="L51" s="339"/>
      <c r="M51" s="339"/>
      <c r="N51" s="339"/>
    </row>
    <row r="52" spans="1:14" s="151" customFormat="1" ht="30" customHeight="1">
      <c r="A52" s="318"/>
      <c r="B52" s="319"/>
      <c r="C52" s="320" t="s">
        <v>102</v>
      </c>
      <c r="D52" s="320"/>
      <c r="E52" s="321"/>
      <c r="F52" s="321"/>
      <c r="G52" s="839" t="str">
        <f>IF(ROUND('FC-3_CPyG'!G20-'FC-9_TRANS_SUBV'!G73-'FC-9_TRANS_SUBV'!G88,2)=0,"Ok","Mal, revisa dato en FC-3 y FC-9")</f>
        <v>Ok</v>
      </c>
      <c r="H52" s="839" t="str">
        <f>IF(ROUND('FC-3_CPyG'!H20-'FC-9_TRANS_SUBV'!H73-'FC-9_TRANS_SUBV'!H88,2)=0,"Ok","Mal, revisa dato en FC-3 y FC-9")</f>
        <v>Ok</v>
      </c>
      <c r="I52" s="322"/>
      <c r="J52" s="339"/>
      <c r="K52" s="339"/>
      <c r="L52" s="339"/>
      <c r="M52" s="339"/>
      <c r="N52" s="339"/>
    </row>
    <row r="53" spans="1:14" s="151" customFormat="1" ht="30" customHeight="1">
      <c r="A53" s="318"/>
      <c r="B53" s="319"/>
      <c r="C53" s="320" t="s">
        <v>103</v>
      </c>
      <c r="D53" s="320"/>
      <c r="E53" s="321"/>
      <c r="F53" s="321"/>
      <c r="G53" s="321"/>
      <c r="H53" s="839" t="str">
        <f>IF(ROUND('FC-3_1_INF_ADIC_CPyG'!E81-'FC-9_TRANS_SUBV'!H73-'FC-9_TRANS_SUBV'!H88,2)=0,"Ok","Mal, revisa dato en FC-3_1 y FC-9")</f>
        <v>Ok</v>
      </c>
      <c r="I53" s="322"/>
      <c r="J53" s="339"/>
      <c r="K53" s="339"/>
      <c r="L53" s="339"/>
      <c r="M53" s="339"/>
      <c r="N53" s="339"/>
    </row>
    <row r="54" spans="1:14" s="151" customFormat="1" ht="30" customHeight="1">
      <c r="A54" s="318"/>
      <c r="B54" s="319"/>
      <c r="C54" s="320" t="s">
        <v>104</v>
      </c>
      <c r="D54" s="320"/>
      <c r="E54" s="321"/>
      <c r="F54" s="321"/>
      <c r="G54" s="321"/>
      <c r="H54" s="839" t="str">
        <f>IF(ROUND('FC-3_1_INF_ADIC_CPyG'!E85-'FC-9_TRANS_SUBV'!H74-'FC-9_TRANS_SUBV'!H89,2)=0,"Ok","Mal, revisa dato en FC-3_1 y FC-9")</f>
        <v>Ok</v>
      </c>
      <c r="I54" s="322"/>
      <c r="J54" s="339"/>
      <c r="K54" s="339"/>
      <c r="L54" s="339"/>
      <c r="M54" s="339"/>
      <c r="N54" s="339"/>
    </row>
    <row r="55" spans="1:14" s="318" customFormat="1" ht="30" customHeight="1">
      <c r="B55" s="319"/>
      <c r="C55" s="320" t="s">
        <v>105</v>
      </c>
      <c r="D55" s="320"/>
      <c r="E55" s="321"/>
      <c r="F55" s="691"/>
      <c r="G55" s="1147" t="str">
        <f>IF(ROUND('FC-4_PASIVO'!G33+'FC-4_PASIVO'!G47-'FC-9_1_SUBV_REINT'!J59,2)=0,"Ok","Mal, revisa datos en FC-4 Pasivo y FC-9.1")</f>
        <v>Ok</v>
      </c>
      <c r="H55" s="839" t="str">
        <f>IF(ROUND('FC-4_PASIVO'!H33-'FC-9_1_SUBV_REINT'!P59,2)=0,"Ok","Mal, revisa datos en FC-4 Pasivo y FC-9.1")</f>
        <v>Ok</v>
      </c>
      <c r="I55" s="322"/>
      <c r="L55" s="657"/>
      <c r="M55" s="657"/>
      <c r="N55" s="657"/>
    </row>
    <row r="56" spans="1:14" s="318" customFormat="1" ht="30" customHeight="1">
      <c r="B56" s="319"/>
      <c r="C56" s="320" t="s">
        <v>106</v>
      </c>
      <c r="D56" s="320"/>
      <c r="E56" s="321"/>
      <c r="F56" s="787"/>
      <c r="G56" s="1148"/>
      <c r="H56" s="839" t="str">
        <f>IF(ROUND('FC-4_PASIVO'!H47-'FC-9_1_SUBV_REINT'!O59,2)=0,"Ok","Mal, revisa datos en FC-4 Pasivo y FC-9.1")</f>
        <v>Ok</v>
      </c>
      <c r="I56" s="322"/>
      <c r="L56" s="657"/>
      <c r="M56" s="657"/>
      <c r="N56" s="657"/>
    </row>
    <row r="57" spans="1:14" s="151" customFormat="1" ht="30" customHeight="1">
      <c r="A57" s="318"/>
      <c r="B57" s="319"/>
      <c r="C57" s="320" t="s">
        <v>107</v>
      </c>
      <c r="D57" s="320"/>
      <c r="E57" s="321"/>
      <c r="F57" s="321"/>
      <c r="G57" s="321"/>
      <c r="H57" s="839" t="str">
        <f>IF(ROUND('FC-9_1_SUBV_REINT'!R59,2)=ROUND('FC-9_1_SUBV_REINT'!R60+'FC-9_1_SUBV_REINT'!R62,2),"Ok","Mal, cumplimenta el tipo de aportación")</f>
        <v>Ok</v>
      </c>
      <c r="I57" s="322"/>
      <c r="J57" s="318"/>
      <c r="K57" s="339"/>
      <c r="L57" s="339"/>
      <c r="M57" s="339"/>
      <c r="N57" s="339"/>
    </row>
    <row r="58" spans="1:14" s="151" customFormat="1" ht="30" customHeight="1">
      <c r="A58" s="318"/>
      <c r="B58" s="319"/>
      <c r="C58" s="320" t="s">
        <v>108</v>
      </c>
      <c r="D58" s="320"/>
      <c r="E58" s="321"/>
      <c r="F58" s="321"/>
      <c r="G58" s="321"/>
      <c r="H58" s="839" t="str">
        <f>IF(ROUND('FC-9_1_SUBV_REINT'!N59-'FC-9_1_SUBV_REINT'!O59-'FC-9_1_SUBV_REINT'!P59,2)=0,"Ok","Mal, revisa datos en FC-9.1, fila inicial 42")</f>
        <v>Ok</v>
      </c>
      <c r="I58" s="322"/>
      <c r="J58" s="318"/>
      <c r="K58" s="339"/>
      <c r="L58" s="339"/>
      <c r="M58" s="339"/>
      <c r="N58" s="339"/>
    </row>
    <row r="59" spans="1:14" s="151" customFormat="1" ht="30" customHeight="1">
      <c r="A59" s="318"/>
      <c r="B59" s="319"/>
      <c r="C59" s="320" t="s">
        <v>109</v>
      </c>
      <c r="D59" s="320"/>
      <c r="E59" s="321"/>
      <c r="F59" s="321"/>
      <c r="G59" s="321"/>
      <c r="H59" s="839" t="str">
        <f>IF(ROUND('FC-9_TRANS_SUBV'!J41+'FC-9_1_SUBV_REINT'!M63,2)=0,"Ok","Revisa traspaso aportac. Capital de FC-9.1 a FC-9")</f>
        <v>Ok</v>
      </c>
      <c r="I59" s="322"/>
      <c r="J59" s="318"/>
      <c r="K59" s="339"/>
      <c r="L59" s="339"/>
      <c r="M59" s="339"/>
      <c r="N59" s="339"/>
    </row>
    <row r="60" spans="1:14" s="151" customFormat="1" ht="30" customHeight="1">
      <c r="A60" s="318"/>
      <c r="B60" s="319"/>
      <c r="C60" s="320" t="s">
        <v>110</v>
      </c>
      <c r="D60" s="320"/>
      <c r="E60" s="321"/>
      <c r="F60" s="321"/>
      <c r="G60" s="321"/>
      <c r="H60" s="839" t="str">
        <f>IF(ROUND('FC-9_TRANS_SUBV'!H73+'FC-9_1_SUBV_REINT'!M60,2)=0,"Ok","Revisa traspaso aportac. Capital de FC-9.1 a FC-9")</f>
        <v>Ok</v>
      </c>
      <c r="I60" s="322"/>
      <c r="J60" s="318"/>
      <c r="K60" s="339"/>
      <c r="L60" s="339"/>
      <c r="M60" s="339"/>
      <c r="N60" s="339"/>
    </row>
    <row r="61" spans="1:14" s="151" customFormat="1" ht="30" customHeight="1" thickBot="1">
      <c r="A61" s="318"/>
      <c r="B61" s="319"/>
      <c r="C61" s="841" t="s">
        <v>111</v>
      </c>
      <c r="D61" s="841"/>
      <c r="E61" s="842"/>
      <c r="F61" s="842"/>
      <c r="G61" s="842"/>
      <c r="H61" s="842"/>
      <c r="I61" s="322"/>
      <c r="J61" s="339"/>
      <c r="K61" s="339"/>
      <c r="L61" s="339"/>
      <c r="M61" s="339"/>
      <c r="N61" s="339"/>
    </row>
    <row r="62" spans="1:14" s="151" customFormat="1" ht="30" customHeight="1">
      <c r="A62" s="318"/>
      <c r="B62" s="319"/>
      <c r="C62" s="320" t="s">
        <v>112</v>
      </c>
      <c r="D62" s="320"/>
      <c r="E62" s="321"/>
      <c r="F62" s="691"/>
      <c r="G62" s="1147" t="str">
        <f>IF(ROUND((+'FC-4_PASIVO'!G30+'FC-4_PASIVO'!G31+'FC-4_PASIVO'!G44+'FC-4_PASIVO'!G45)-('FC-10_DEUDAS'!L28),2)=0,"Ok","Mal, revisa datos en FC-4 PASIVO y FC-10")</f>
        <v>Ok</v>
      </c>
      <c r="H62" s="839" t="str">
        <f>IF(ROUND((+'FC-4_PASIVO'!H30+'FC-4_PASIVO'!H31)-('FC-10_DEUDAS'!S28),2)=0,"Ok","Mal, revisa datos en FC-4 PASIVO y FC-10")</f>
        <v>Ok</v>
      </c>
      <c r="I62" s="322"/>
      <c r="J62" s="339"/>
      <c r="K62" s="339"/>
      <c r="L62" s="339"/>
      <c r="M62" s="339"/>
      <c r="N62" s="339"/>
    </row>
    <row r="63" spans="1:14" s="151" customFormat="1" ht="30" customHeight="1">
      <c r="A63" s="318"/>
      <c r="B63" s="319"/>
      <c r="C63" s="320" t="s">
        <v>113</v>
      </c>
      <c r="D63" s="320"/>
      <c r="E63" s="321"/>
      <c r="F63" s="787"/>
      <c r="G63" s="1148"/>
      <c r="H63" s="839" t="str">
        <f>IF(ROUND(('FC-4_PASIVO'!H44+'FC-4_PASIVO'!H45)-('FC-10_DEUDAS'!R28),2)=0,"Ok","Mal, revisa datos en FC-4 PASIVO y FC-10")</f>
        <v>Ok</v>
      </c>
      <c r="I63" s="322"/>
      <c r="J63" s="339"/>
      <c r="K63" s="339"/>
      <c r="L63" s="339"/>
      <c r="M63" s="339"/>
      <c r="N63" s="339"/>
    </row>
    <row r="64" spans="1:14" s="151" customFormat="1" ht="30" customHeight="1">
      <c r="A64" s="318"/>
      <c r="B64" s="319"/>
      <c r="C64" s="320" t="s">
        <v>114</v>
      </c>
      <c r="D64" s="320"/>
      <c r="E64" s="321"/>
      <c r="F64" s="691"/>
      <c r="G64" s="1147" t="str">
        <f>IF(ROUND('FC-4_PASIVO'!G34+'FC-4_PASIVO'!G48-'FC-10_DEUDAS'!L50,2)=0,"Ok","Mal, revisa datos en FC-4 Pasivo y FC-10")</f>
        <v>Ok</v>
      </c>
      <c r="H64" s="839" t="str">
        <f>IF(ROUND('FC-4_PASIVO'!H34-'FC-10_DEUDAS'!S50,2)=0,"Ok","Mal, revisa datos en FC-4 Pasivo y FC-10")</f>
        <v>Ok</v>
      </c>
      <c r="I64" s="322"/>
      <c r="J64" s="339"/>
      <c r="K64" s="339"/>
      <c r="L64" s="339"/>
      <c r="M64" s="339"/>
      <c r="N64" s="339"/>
    </row>
    <row r="65" spans="1:14" s="151" customFormat="1" ht="30" customHeight="1">
      <c r="A65" s="318"/>
      <c r="B65" s="319"/>
      <c r="C65" s="320" t="s">
        <v>115</v>
      </c>
      <c r="D65" s="320"/>
      <c r="E65" s="321"/>
      <c r="F65" s="787"/>
      <c r="G65" s="1148"/>
      <c r="H65" s="839" t="str">
        <f>IF(ROUND('FC-4_PASIVO'!H48-'FC-10_DEUDAS'!R50,2)=0,"Ok","Mal, revisa datos en FC-4 Pasivo y FC-10")</f>
        <v>Ok</v>
      </c>
      <c r="I65" s="322"/>
      <c r="J65" s="339"/>
      <c r="K65" s="339"/>
      <c r="L65" s="339"/>
      <c r="M65" s="339"/>
      <c r="N65" s="339"/>
    </row>
    <row r="66" spans="1:14" s="151" customFormat="1" ht="30" customHeight="1">
      <c r="A66" s="318"/>
      <c r="B66" s="319"/>
      <c r="C66" s="320" t="s">
        <v>116</v>
      </c>
      <c r="D66" s="320"/>
      <c r="E66" s="321"/>
      <c r="F66" s="691"/>
      <c r="G66" s="1147" t="str">
        <f>IF(ROUND('FC-4_PASIVO'!G35+'FC-4_PASIVO'!G49-'FC-10_DEUDAS'!L73,2)=0,"Ok","Mal, revisa datos en FC-4 Pasivo y FC-10")</f>
        <v>Ok</v>
      </c>
      <c r="H66" s="839" t="str">
        <f>IF(ROUND('FC-4_PASIVO'!H35-'FC-10_DEUDAS'!S73,2)=0,"Ok","Mal, revisa datos en FC-4 Pasivo y FC-10")</f>
        <v>Ok</v>
      </c>
      <c r="I66" s="322"/>
      <c r="J66" s="339"/>
      <c r="K66" s="339"/>
      <c r="L66" s="339"/>
      <c r="M66" s="339"/>
      <c r="N66" s="339"/>
    </row>
    <row r="67" spans="1:14" s="151" customFormat="1" ht="30" customHeight="1">
      <c r="A67" s="318"/>
      <c r="B67" s="319"/>
      <c r="C67" s="320" t="s">
        <v>117</v>
      </c>
      <c r="D67" s="320"/>
      <c r="E67" s="321"/>
      <c r="F67" s="787"/>
      <c r="G67" s="1148"/>
      <c r="H67" s="839" t="str">
        <f>IF(ROUND('FC-4_PASIVO'!H49-'FC-10_DEUDAS'!R73,2)=0,"Ok","Mal, revisa datos en FC-4 Pasivo y FC-10")</f>
        <v>Ok</v>
      </c>
      <c r="I67" s="322"/>
      <c r="J67" s="339"/>
      <c r="K67" s="339"/>
      <c r="L67" s="339"/>
      <c r="M67" s="339"/>
      <c r="N67" s="339"/>
    </row>
    <row r="68" spans="1:14" s="151" customFormat="1" ht="30" customHeight="1">
      <c r="A68" s="318"/>
      <c r="B68" s="319"/>
      <c r="C68" s="320" t="s">
        <v>118</v>
      </c>
      <c r="D68" s="320"/>
      <c r="E68" s="321"/>
      <c r="F68" s="321"/>
      <c r="G68" s="321"/>
      <c r="H68" s="839" t="str">
        <f>IF(ROUND('FC-10_DEUDAS'!Q28-'FC-10_DEUDAS'!R28-'FC-10_DEUDAS'!S28,2)=0,"Ok","Mal, revisa datos en FC-10 fila inicial 28")</f>
        <v>Ok</v>
      </c>
      <c r="I68" s="322"/>
      <c r="J68" s="339"/>
      <c r="K68" s="339"/>
      <c r="L68" s="339"/>
      <c r="M68" s="339"/>
      <c r="N68" s="339"/>
    </row>
    <row r="69" spans="1:14" s="151" customFormat="1" ht="30" customHeight="1">
      <c r="A69" s="318"/>
      <c r="B69" s="319"/>
      <c r="C69" s="320" t="s">
        <v>119</v>
      </c>
      <c r="D69" s="633"/>
      <c r="E69" s="691"/>
      <c r="F69" s="691"/>
      <c r="G69" s="321"/>
      <c r="H69" s="839" t="str">
        <f>IF(ROUND('FC-10_DEUDAS'!Q50-'FC-10_DEUDAS'!R50-'FC-10_DEUDAS'!S50,2)=0,"Ok","Mal, revisa datos en FC-10 fila inicial 50")</f>
        <v>Ok</v>
      </c>
      <c r="I69" s="322"/>
      <c r="J69" s="339"/>
      <c r="K69" s="339"/>
      <c r="L69" s="339"/>
      <c r="M69" s="339"/>
      <c r="N69" s="339"/>
    </row>
    <row r="70" spans="1:14" s="151" customFormat="1" ht="30" customHeight="1">
      <c r="A70" s="318"/>
      <c r="B70" s="319"/>
      <c r="C70" s="320" t="s">
        <v>120</v>
      </c>
      <c r="D70" s="633"/>
      <c r="E70" s="691"/>
      <c r="F70" s="691"/>
      <c r="G70" s="321"/>
      <c r="H70" s="839" t="str">
        <f>IF(ROUND('FC-10_DEUDAS'!Q73-'FC-10_DEUDAS'!R73-'FC-10_DEUDAS'!S73,2)=0,"Ok","Mal, revisa datos en FC-10 fila inicial 73")</f>
        <v>Ok</v>
      </c>
      <c r="I70" s="322"/>
      <c r="J70" s="339"/>
      <c r="K70" s="339"/>
      <c r="L70" s="339"/>
      <c r="M70" s="339"/>
      <c r="N70" s="339"/>
    </row>
    <row r="71" spans="1:14" s="151" customFormat="1" ht="30" customHeight="1" thickBot="1">
      <c r="A71" s="318"/>
      <c r="B71" s="319"/>
      <c r="C71" s="841" t="s">
        <v>121</v>
      </c>
      <c r="D71" s="841"/>
      <c r="E71" s="842"/>
      <c r="F71" s="842"/>
      <c r="G71" s="842"/>
      <c r="H71" s="842"/>
      <c r="I71" s="322"/>
      <c r="J71" s="339"/>
      <c r="K71" s="339"/>
      <c r="L71" s="339"/>
      <c r="M71" s="339"/>
      <c r="N71" s="339"/>
    </row>
    <row r="72" spans="1:14" s="151" customFormat="1" ht="30" customHeight="1">
      <c r="A72" s="318"/>
      <c r="B72" s="319"/>
      <c r="C72" s="633" t="s">
        <v>122</v>
      </c>
      <c r="D72" s="633"/>
      <c r="E72" s="691"/>
      <c r="F72" s="691"/>
      <c r="G72" s="839" t="str">
        <f>IF(ROUND('FC-4_PASIVO'!G28-'_FC-16_1_ INF_ADIC_ESTAB_PRESUP'!E19,2)=0,"Ok","Mal, revisa dato en FC-4_PASIVO y FC-16_1")</f>
        <v>Ok</v>
      </c>
      <c r="H72" s="839" t="str">
        <f>IF(ROUND('FC-4_PASIVO'!H28-'_FC-16_1_ INF_ADIC_ESTAB_PRESUP'!J19,2)=0,"Ok","Mal, revisa dato en FC-4_PASIVO y FC-16_1")</f>
        <v>Ok</v>
      </c>
      <c r="I72" s="322"/>
      <c r="J72" s="339"/>
      <c r="K72" s="339"/>
      <c r="L72" s="339"/>
      <c r="M72" s="339"/>
      <c r="N72" s="339"/>
    </row>
    <row r="73" spans="1:14" s="151" customFormat="1" ht="30" customHeight="1">
      <c r="A73" s="318"/>
      <c r="B73" s="319"/>
      <c r="C73" s="633" t="s">
        <v>123</v>
      </c>
      <c r="D73" s="633"/>
      <c r="E73" s="691"/>
      <c r="F73" s="691"/>
      <c r="G73" s="839" t="str">
        <f>IF(ROUND('FC-4_PASIVO'!G42-'_FC-16_1_ INF_ADIC_ESTAB_PRESUP'!E28,2)=0,"Ok","Mal, revisa dato en FC-4_PASIVO y FC-16_1")</f>
        <v>Ok</v>
      </c>
      <c r="H73" s="839" t="str">
        <f>IF(ROUND('FC-4_PASIVO'!H42-'_FC-16_1_ INF_ADIC_ESTAB_PRESUP'!J28,2)=0,"Ok","Mal, revisa dato en FC-4_PASIVO y FC-16_1")</f>
        <v>Ok</v>
      </c>
      <c r="I73" s="322"/>
      <c r="J73" s="339"/>
      <c r="K73" s="339"/>
      <c r="L73" s="339"/>
      <c r="M73" s="339"/>
      <c r="N73" s="339"/>
    </row>
    <row r="74" spans="1:14" s="151" customFormat="1" ht="30" customHeight="1" thickBot="1">
      <c r="A74" s="318"/>
      <c r="B74" s="319"/>
      <c r="C74" s="841" t="s">
        <v>124</v>
      </c>
      <c r="D74" s="841"/>
      <c r="E74" s="842"/>
      <c r="F74" s="842"/>
      <c r="G74" s="842"/>
      <c r="H74" s="842"/>
      <c r="I74" s="322"/>
      <c r="J74" s="339"/>
      <c r="K74" s="339"/>
      <c r="L74" s="339"/>
      <c r="M74" s="339"/>
      <c r="N74" s="339"/>
    </row>
    <row r="75" spans="1:14" s="318" customFormat="1" ht="30" customHeight="1">
      <c r="B75" s="319"/>
      <c r="C75" s="633" t="s">
        <v>125</v>
      </c>
      <c r="D75" s="633"/>
      <c r="E75" s="691"/>
      <c r="F75" s="691"/>
      <c r="G75" s="691"/>
      <c r="H75" s="839" t="str">
        <f>IF(ROUND('FC-9_TRANS_SUBV'!N41-'_FC-17_FINANCIACIÓN'!E28,2)=0,"Ok","Mal, revisa dato en FC-9 y FC-17")</f>
        <v>Ok</v>
      </c>
      <c r="I75" s="322"/>
      <c r="K75" s="657"/>
      <c r="L75" s="657"/>
      <c r="M75" s="657"/>
      <c r="N75" s="657"/>
    </row>
    <row r="76" spans="1:14" s="318" customFormat="1" ht="30" customHeight="1">
      <c r="B76" s="319"/>
      <c r="C76" s="843" t="s">
        <v>126</v>
      </c>
      <c r="D76" s="843"/>
      <c r="E76" s="844"/>
      <c r="F76" s="844"/>
      <c r="G76" s="844"/>
      <c r="H76" s="839" t="str">
        <f>IF(ROUND('FC-9_TRANS_SUBV'!J73-'_FC-17_FINANCIACIÓN'!E24,2)=0,"Ok","Mal, revisa dato en FC-9 y FC-17")</f>
        <v>Ok</v>
      </c>
      <c r="I76" s="322"/>
      <c r="K76" s="657"/>
      <c r="L76" s="657"/>
      <c r="M76" s="657"/>
      <c r="N76" s="657"/>
    </row>
    <row r="77" spans="1:14" ht="30" customHeight="1" thickBot="1">
      <c r="A77" s="339"/>
      <c r="B77" s="915"/>
      <c r="C77" s="841" t="s">
        <v>127</v>
      </c>
      <c r="D77" s="841"/>
      <c r="E77" s="842"/>
      <c r="F77" s="842"/>
      <c r="G77" s="842"/>
      <c r="H77" s="842"/>
      <c r="I77" s="916"/>
      <c r="J77" s="339"/>
      <c r="K77" s="339"/>
      <c r="L77" s="339"/>
      <c r="M77" s="339"/>
      <c r="N77" s="339"/>
    </row>
    <row r="78" spans="1:14" ht="30" customHeight="1">
      <c r="A78" s="339"/>
      <c r="B78" s="915"/>
      <c r="C78" s="338" t="s">
        <v>128</v>
      </c>
      <c r="D78" s="338"/>
      <c r="E78" s="926"/>
      <c r="F78" s="926"/>
      <c r="G78" s="926"/>
      <c r="H78" s="839" t="str">
        <f>IF(ROUND(+'FC-3_CPyG'!H62-'_FC-90_DETALLE'!E161,2)=0,"Ok","Mal, revisa resultado en F-3 y FC-92")</f>
        <v>Ok</v>
      </c>
      <c r="I78" s="916"/>
      <c r="J78" s="339"/>
      <c r="K78" s="339"/>
      <c r="L78" s="339"/>
      <c r="M78" s="339"/>
      <c r="N78" s="339"/>
    </row>
    <row r="79" spans="1:14" ht="22.95" customHeight="1" thickBot="1">
      <c r="A79" s="339"/>
      <c r="B79" s="920"/>
      <c r="C79" s="921"/>
      <c r="D79" s="921"/>
      <c r="E79" s="921"/>
      <c r="F79" s="921"/>
      <c r="G79" s="927"/>
      <c r="H79" s="921"/>
      <c r="I79" s="922"/>
      <c r="J79" s="339"/>
      <c r="K79" s="339"/>
      <c r="L79" s="339"/>
      <c r="M79" s="339"/>
      <c r="N79" s="339"/>
    </row>
    <row r="80" spans="1:14" ht="22.95" customHeight="1">
      <c r="A80" s="339"/>
      <c r="B80" s="339"/>
      <c r="C80" s="339"/>
      <c r="D80" s="339"/>
      <c r="E80" s="339"/>
      <c r="F80" s="339"/>
      <c r="G80" s="928"/>
      <c r="H80" s="339"/>
      <c r="I80" s="339"/>
      <c r="J80" s="339"/>
      <c r="K80" s="339"/>
      <c r="L80" s="339"/>
      <c r="M80" s="339"/>
      <c r="N80" s="339"/>
    </row>
    <row r="81" spans="1:14" s="23" customFormat="1" ht="15">
      <c r="C81" s="19" t="s">
        <v>52</v>
      </c>
      <c r="G81" s="24"/>
      <c r="H81" s="22"/>
      <c r="J81" s="339"/>
      <c r="K81" s="339"/>
      <c r="L81" s="339"/>
      <c r="M81" s="339"/>
      <c r="N81" s="339"/>
    </row>
    <row r="82" spans="1:14" s="23" customFormat="1" ht="15">
      <c r="C82" s="19" t="s">
        <v>54</v>
      </c>
      <c r="G82" s="24"/>
      <c r="J82" s="339"/>
      <c r="K82" s="339"/>
      <c r="L82" s="339"/>
      <c r="M82" s="339"/>
      <c r="N82" s="339"/>
    </row>
    <row r="83" spans="1:14" s="23" customFormat="1" ht="15">
      <c r="C83" s="19" t="s">
        <v>55</v>
      </c>
      <c r="G83" s="24"/>
      <c r="J83" s="339"/>
      <c r="K83" s="339"/>
      <c r="L83" s="339"/>
      <c r="M83" s="339"/>
      <c r="N83" s="339"/>
    </row>
    <row r="84" spans="1:14" s="23" customFormat="1" ht="15">
      <c r="C84" s="19" t="s">
        <v>56</v>
      </c>
      <c r="G84" s="24"/>
      <c r="J84" s="339"/>
      <c r="K84" s="339"/>
      <c r="L84" s="339"/>
      <c r="M84" s="339"/>
      <c r="N84" s="339"/>
    </row>
    <row r="85" spans="1:14" s="23" customFormat="1" ht="15">
      <c r="C85" s="19" t="s">
        <v>57</v>
      </c>
      <c r="G85" s="24"/>
      <c r="J85" s="339"/>
      <c r="K85" s="339"/>
      <c r="L85" s="339"/>
      <c r="M85" s="339"/>
      <c r="N85" s="339"/>
    </row>
    <row r="86" spans="1:14" ht="22.95" customHeight="1">
      <c r="A86" s="339"/>
      <c r="B86" s="339"/>
      <c r="C86" s="339"/>
      <c r="D86" s="339"/>
      <c r="E86" s="339"/>
      <c r="F86" s="339"/>
      <c r="G86" s="928"/>
      <c r="H86" s="339"/>
      <c r="I86" s="339"/>
      <c r="J86" s="339"/>
      <c r="K86" s="339"/>
      <c r="L86" s="339"/>
      <c r="M86" s="339"/>
      <c r="N86" s="339"/>
    </row>
    <row r="87" spans="1:14" ht="22.95" customHeight="1">
      <c r="A87" s="339"/>
      <c r="B87" s="339"/>
      <c r="C87" s="339"/>
      <c r="D87" s="339"/>
      <c r="E87" s="339"/>
      <c r="F87" s="339"/>
      <c r="G87" s="928"/>
      <c r="H87" s="339"/>
      <c r="I87" s="339"/>
      <c r="J87" s="339"/>
      <c r="K87" s="339"/>
      <c r="L87" s="339"/>
      <c r="M87" s="339"/>
      <c r="N87" s="339"/>
    </row>
    <row r="88" spans="1:14" ht="22.95" customHeight="1">
      <c r="A88" s="339"/>
      <c r="B88" s="339"/>
      <c r="C88" s="339"/>
      <c r="D88" s="339"/>
      <c r="E88" s="339"/>
      <c r="F88" s="339"/>
      <c r="G88" s="928"/>
      <c r="H88" s="339"/>
      <c r="I88" s="339"/>
      <c r="J88" s="339"/>
      <c r="K88" s="339"/>
      <c r="L88" s="339"/>
      <c r="M88" s="339"/>
      <c r="N88" s="339"/>
    </row>
    <row r="89" spans="1:14" ht="22.95" customHeight="1">
      <c r="A89" s="339"/>
      <c r="B89" s="339"/>
      <c r="C89" s="339"/>
      <c r="D89" s="339"/>
      <c r="E89" s="339"/>
      <c r="F89" s="339"/>
      <c r="G89" s="928"/>
      <c r="H89" s="339"/>
      <c r="I89" s="339"/>
      <c r="J89" s="339"/>
      <c r="K89" s="339"/>
      <c r="L89" s="339"/>
      <c r="M89" s="339"/>
      <c r="N89" s="339"/>
    </row>
    <row r="90" spans="1:14" ht="22.95" customHeight="1">
      <c r="A90" s="339"/>
      <c r="B90" s="339"/>
      <c r="C90" s="339"/>
      <c r="D90" s="339"/>
      <c r="E90" s="339"/>
      <c r="F90" s="339"/>
      <c r="G90" s="928"/>
      <c r="H90" s="339"/>
      <c r="I90" s="339"/>
      <c r="J90" s="339"/>
      <c r="K90" s="339"/>
      <c r="L90" s="339"/>
      <c r="M90" s="339"/>
      <c r="N90" s="339"/>
    </row>
    <row r="91" spans="1:14" ht="22.95" customHeight="1">
      <c r="A91" s="339"/>
      <c r="B91" s="339"/>
      <c r="C91" s="339"/>
      <c r="D91" s="339"/>
      <c r="E91" s="339"/>
      <c r="F91" s="339"/>
      <c r="G91" s="928"/>
      <c r="H91" s="339"/>
      <c r="I91" s="339"/>
      <c r="J91" s="339"/>
      <c r="K91" s="339"/>
      <c r="L91" s="339"/>
      <c r="M91" s="339"/>
      <c r="N91" s="339"/>
    </row>
    <row r="92" spans="1:14" ht="22.95" customHeight="1">
      <c r="A92" s="339"/>
      <c r="B92" s="339"/>
      <c r="C92" s="339"/>
      <c r="D92" s="339"/>
      <c r="E92" s="339"/>
      <c r="F92" s="339"/>
      <c r="G92" s="928"/>
      <c r="H92" s="339"/>
      <c r="I92" s="339"/>
      <c r="J92" s="339"/>
      <c r="K92" s="339"/>
      <c r="L92" s="339"/>
      <c r="M92" s="339"/>
      <c r="N92" s="339"/>
    </row>
  </sheetData>
  <sheetProtection algorithmName="SHA-512" hashValue="qCrt7BkC2PT4abMv9J/ORmRXbJCSnVNLPhk0DSWeNDC0H+qzsE3jGzmjQtzc4yrKz5WbUGl1NUXuI65oAXxmNQ==" saltValue="mIJAxcRVHVgFWwhVV/HDtw==" spinCount="100000" sheet="1" objects="1" scenarios="1"/>
  <mergeCells count="6">
    <mergeCell ref="H6:H7"/>
    <mergeCell ref="D9:H9"/>
    <mergeCell ref="G62:G63"/>
    <mergeCell ref="G64:G65"/>
    <mergeCell ref="G66:G67"/>
    <mergeCell ref="G55:G56"/>
  </mergeCells>
  <phoneticPr fontId="16" type="noConversion"/>
  <conditionalFormatting sqref="E27:H27">
    <cfRule type="cellIs" dxfId="39" priority="43" operator="notEqual">
      <formula>"Ok"</formula>
    </cfRule>
    <cfRule type="cellIs" dxfId="38" priority="44" operator="equal">
      <formula>"Ok"</formula>
    </cfRule>
  </conditionalFormatting>
  <conditionalFormatting sqref="E34:H35">
    <cfRule type="cellIs" dxfId="37" priority="30" operator="equal">
      <formula>"Ok"</formula>
    </cfRule>
    <cfRule type="cellIs" dxfId="36" priority="29" operator="notEqual">
      <formula>"Ok"</formula>
    </cfRule>
  </conditionalFormatting>
  <conditionalFormatting sqref="G28">
    <cfRule type="cellIs" dxfId="35" priority="37" operator="notEqual">
      <formula>"Ok"</formula>
    </cfRule>
    <cfRule type="cellIs" dxfId="34" priority="38" operator="equal">
      <formula>"Ok"</formula>
    </cfRule>
  </conditionalFormatting>
  <conditionalFormatting sqref="G38:G42">
    <cfRule type="cellIs" dxfId="33" priority="26" operator="equal">
      <formula>"Ok"</formula>
    </cfRule>
    <cfRule type="cellIs" dxfId="32" priority="25" operator="notEqual">
      <formula>"Ok"</formula>
    </cfRule>
  </conditionalFormatting>
  <conditionalFormatting sqref="G55">
    <cfRule type="cellIs" dxfId="31" priority="15" operator="notEqual">
      <formula>"Ok"</formula>
    </cfRule>
    <cfRule type="cellIs" dxfId="30" priority="16" operator="equal">
      <formula>"Ok"</formula>
    </cfRule>
  </conditionalFormatting>
  <conditionalFormatting sqref="G62">
    <cfRule type="cellIs" dxfId="29" priority="13" operator="notEqual">
      <formula>"Ok"</formula>
    </cfRule>
    <cfRule type="cellIs" dxfId="28" priority="14" operator="equal">
      <formula>"Ok"</formula>
    </cfRule>
  </conditionalFormatting>
  <conditionalFormatting sqref="G64">
    <cfRule type="cellIs" dxfId="27" priority="11" operator="notEqual">
      <formula>"Ok"</formula>
    </cfRule>
    <cfRule type="cellIs" dxfId="26" priority="12" operator="equal">
      <formula>"Ok"</formula>
    </cfRule>
  </conditionalFormatting>
  <conditionalFormatting sqref="G66">
    <cfRule type="cellIs" dxfId="25" priority="9" operator="notEqual">
      <formula>"Ok"</formula>
    </cfRule>
    <cfRule type="cellIs" dxfId="24" priority="10" operator="equal">
      <formula>"Ok"</formula>
    </cfRule>
  </conditionalFormatting>
  <conditionalFormatting sqref="G45:H46">
    <cfRule type="cellIs" dxfId="23" priority="23" operator="notEqual">
      <formula>"Ok"</formula>
    </cfRule>
    <cfRule type="cellIs" dxfId="22" priority="24" operator="equal">
      <formula>"Ok"</formula>
    </cfRule>
  </conditionalFormatting>
  <conditionalFormatting sqref="G48:H52">
    <cfRule type="cellIs" dxfId="21" priority="21" operator="notEqual">
      <formula>"Ok"</formula>
    </cfRule>
    <cfRule type="cellIs" dxfId="20" priority="22" operator="equal">
      <formula>"Ok"</formula>
    </cfRule>
  </conditionalFormatting>
  <conditionalFormatting sqref="G72:H73">
    <cfRule type="cellIs" dxfId="19" priority="5" operator="notEqual">
      <formula>"Ok"</formula>
    </cfRule>
    <cfRule type="cellIs" dxfId="18" priority="6" operator="equal">
      <formula>"Ok"</formula>
    </cfRule>
  </conditionalFormatting>
  <conditionalFormatting sqref="H16:H20">
    <cfRule type="cellIs" dxfId="17" priority="36" operator="equal">
      <formula>"Ok"</formula>
    </cfRule>
    <cfRule type="cellIs" dxfId="16" priority="35" operator="notEqual">
      <formula>"Ok"</formula>
    </cfRule>
  </conditionalFormatting>
  <conditionalFormatting sqref="H22:H24">
    <cfRule type="cellIs" dxfId="15" priority="46" operator="equal">
      <formula>"Ok"</formula>
    </cfRule>
    <cfRule type="cellIs" dxfId="14" priority="45" operator="notEqual">
      <formula>"Ok"</formula>
    </cfRule>
  </conditionalFormatting>
  <conditionalFormatting sqref="H26">
    <cfRule type="cellIs" dxfId="13" priority="41" operator="notEqual">
      <formula>"Ok"</formula>
    </cfRule>
    <cfRule type="cellIs" dxfId="12" priority="42" operator="equal">
      <formula>"Ok"</formula>
    </cfRule>
  </conditionalFormatting>
  <conditionalFormatting sqref="H28:H32">
    <cfRule type="cellIs" dxfId="11" priority="39" operator="notEqual">
      <formula>"Ok"</formula>
    </cfRule>
    <cfRule type="cellIs" dxfId="10" priority="40" operator="equal">
      <formula>"Ok"</formula>
    </cfRule>
  </conditionalFormatting>
  <conditionalFormatting sqref="H37:H43">
    <cfRule type="cellIs" dxfId="9" priority="27" operator="notEqual">
      <formula>"Ok"</formula>
    </cfRule>
    <cfRule type="cellIs" dxfId="8" priority="28" operator="equal">
      <formula>"Ok"</formula>
    </cfRule>
  </conditionalFormatting>
  <conditionalFormatting sqref="H53:H60">
    <cfRule type="cellIs" dxfId="7" priority="20" operator="equal">
      <formula>"Ok"</formula>
    </cfRule>
    <cfRule type="cellIs" dxfId="6" priority="19" operator="notEqual">
      <formula>"Ok"</formula>
    </cfRule>
  </conditionalFormatting>
  <conditionalFormatting sqref="H62:H70">
    <cfRule type="cellIs" dxfId="5" priority="7" operator="notEqual">
      <formula>"Ok"</formula>
    </cfRule>
    <cfRule type="cellIs" dxfId="4" priority="8" operator="equal">
      <formula>"Ok"</formula>
    </cfRule>
  </conditionalFormatting>
  <conditionalFormatting sqref="H75:H76">
    <cfRule type="cellIs" dxfId="3" priority="4" operator="equal">
      <formula>"Ok"</formula>
    </cfRule>
    <cfRule type="cellIs" dxfId="2" priority="3" operator="notEqual">
      <formula>"Ok"</formula>
    </cfRule>
  </conditionalFormatting>
  <conditionalFormatting sqref="H78">
    <cfRule type="cellIs" dxfId="1" priority="2" operator="equal">
      <formula>"Ok"</formula>
    </cfRule>
    <cfRule type="cellIs" dxfId="0" priority="1" operator="notEqual">
      <formula>"Ok"</formula>
    </cfRule>
  </conditionalFormatting>
  <printOptions horizontalCentered="1" verticalCentered="1"/>
  <pageMargins left="0.35629921259842523" right="0.35629921259842523" top="0.60629921259842523" bottom="0.60629921259842523" header="0.5" footer="0.5"/>
  <pageSetup paperSize="9" scale="22"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9">
    <pageSetUpPr fitToPage="1"/>
  </sheetPr>
  <dimension ref="A2:W94"/>
  <sheetViews>
    <sheetView topLeftCell="A2" zoomScaleNormal="100" workbookViewId="0">
      <selection activeCell="E34" sqref="E34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1796875" style="31" customWidth="1"/>
    <col min="4" max="4" width="68" style="31" customWidth="1"/>
    <col min="5" max="5" width="17.54296875" style="32" customWidth="1"/>
    <col min="6" max="6" width="44.81640625" style="32" customWidth="1"/>
    <col min="7" max="7" width="10.54296875" style="32" customWidth="1"/>
    <col min="8" max="8" width="3.453125" style="31" customWidth="1"/>
    <col min="9" max="16384" width="10.54296875" style="31"/>
  </cols>
  <sheetData>
    <row r="2" spans="1:23" ht="22.95" customHeight="1">
      <c r="D2" s="318" t="str">
        <f>_GENERAL!D2</f>
        <v>Área de la Presidenta: Igualdad y Diversidad, Hacienda y Proyectos Estratégicos</v>
      </c>
    </row>
    <row r="3" spans="1:23" ht="22.95" customHeight="1">
      <c r="D3" s="318" t="str">
        <f>_GENERAL!D3</f>
        <v>Dirección Insular de Hacienda</v>
      </c>
    </row>
    <row r="4" spans="1:23" ht="22.95" customHeight="1" thickBot="1">
      <c r="A4" s="31" t="s">
        <v>129</v>
      </c>
    </row>
    <row r="5" spans="1:23" ht="9" customHeight="1">
      <c r="B5" s="33"/>
      <c r="C5" s="34"/>
      <c r="D5" s="34"/>
      <c r="E5" s="35"/>
      <c r="F5" s="35"/>
      <c r="G5" s="35"/>
      <c r="H5" s="36"/>
      <c r="J5" s="700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2"/>
    </row>
    <row r="6" spans="1:23" ht="30" customHeight="1">
      <c r="B6" s="37"/>
      <c r="C6" s="28" t="s">
        <v>2</v>
      </c>
      <c r="G6" s="1138">
        <f>ejercicio</f>
        <v>2025</v>
      </c>
      <c r="H6" s="38"/>
      <c r="J6" s="163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6"/>
    </row>
    <row r="7" spans="1:23" ht="30" customHeight="1">
      <c r="B7" s="37"/>
      <c r="C7" s="28" t="s">
        <v>3</v>
      </c>
      <c r="G7" s="1138"/>
      <c r="H7" s="38"/>
      <c r="J7" s="167"/>
      <c r="K7" s="164" t="s">
        <v>130</v>
      </c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9"/>
    </row>
    <row r="8" spans="1:23" ht="30" customHeight="1">
      <c r="B8" s="37"/>
      <c r="C8" s="39"/>
      <c r="G8" s="40"/>
      <c r="H8" s="38"/>
      <c r="J8" s="736"/>
      <c r="K8" s="707"/>
      <c r="L8" s="707"/>
      <c r="M8" s="707"/>
      <c r="N8" s="707"/>
      <c r="O8" s="707"/>
      <c r="P8" s="707"/>
      <c r="Q8" s="707"/>
      <c r="R8" s="707"/>
      <c r="S8" s="707"/>
      <c r="T8" s="707"/>
      <c r="U8" s="707"/>
      <c r="V8" s="707"/>
      <c r="W8" s="737"/>
    </row>
    <row r="9" spans="1:23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825"/>
      <c r="I9" s="892"/>
      <c r="J9" s="736"/>
      <c r="K9" s="707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37"/>
    </row>
    <row r="10" spans="1:23" ht="7.2" customHeight="1">
      <c r="B10" s="37"/>
      <c r="H10" s="38"/>
      <c r="J10" s="736"/>
      <c r="K10" s="707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37"/>
    </row>
    <row r="11" spans="1:23" s="45" customFormat="1" ht="30" customHeight="1">
      <c r="B11" s="41"/>
      <c r="C11" s="42" t="s">
        <v>896</v>
      </c>
      <c r="D11" s="42"/>
      <c r="E11" s="43"/>
      <c r="F11" s="43"/>
      <c r="G11" s="43"/>
      <c r="H11" s="44"/>
      <c r="J11" s="736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37"/>
    </row>
    <row r="12" spans="1:23" s="45" customFormat="1" ht="30" customHeight="1">
      <c r="B12" s="41"/>
      <c r="C12" s="1184"/>
      <c r="D12" s="1184"/>
      <c r="E12" s="30"/>
      <c r="F12" s="30"/>
      <c r="G12" s="30"/>
      <c r="H12" s="44"/>
      <c r="J12" s="736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37"/>
    </row>
    <row r="13" spans="1:23" ht="28.95" customHeight="1">
      <c r="B13" s="46"/>
      <c r="C13" s="909" t="str">
        <f ca="1">IF(_GENERAL!D14&lt;&gt;"Administración Pública","No aplica a entidades clasificadas como Entidad no financiera","")</f>
        <v/>
      </c>
      <c r="D13" s="571"/>
      <c r="E13" s="30"/>
      <c r="F13" s="30"/>
      <c r="G13" s="120"/>
      <c r="H13" s="38"/>
      <c r="J13" s="736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37"/>
    </row>
    <row r="14" spans="1:23" ht="9" customHeight="1">
      <c r="B14" s="46"/>
      <c r="C14" s="571"/>
      <c r="D14" s="571"/>
      <c r="E14" s="30"/>
      <c r="F14" s="30"/>
      <c r="G14" s="30"/>
      <c r="H14" s="38"/>
      <c r="J14" s="736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37"/>
    </row>
    <row r="15" spans="1:23" s="109" customFormat="1" ht="22.95" customHeight="1">
      <c r="B15" s="110"/>
      <c r="C15" s="123"/>
      <c r="D15" s="126"/>
      <c r="E15" s="83" t="s">
        <v>897</v>
      </c>
      <c r="F15" s="123"/>
      <c r="G15" s="126"/>
      <c r="H15" s="112"/>
      <c r="J15" s="736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37"/>
    </row>
    <row r="16" spans="1:23" s="109" customFormat="1" ht="22.95" customHeight="1">
      <c r="B16" s="110"/>
      <c r="C16" s="124"/>
      <c r="D16" s="127"/>
      <c r="E16" s="113" t="s">
        <v>898</v>
      </c>
      <c r="F16" s="124"/>
      <c r="G16" s="127"/>
      <c r="H16" s="112"/>
      <c r="J16" s="736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37"/>
    </row>
    <row r="17" spans="2:23" s="109" customFormat="1" ht="22.95" customHeight="1">
      <c r="B17" s="110"/>
      <c r="C17" s="124"/>
      <c r="D17" s="127"/>
      <c r="E17" s="113" t="s">
        <v>899</v>
      </c>
      <c r="F17" s="124"/>
      <c r="G17" s="127"/>
      <c r="H17" s="112"/>
      <c r="J17" s="736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37"/>
    </row>
    <row r="18" spans="2:23" s="109" customFormat="1" ht="24" customHeight="1">
      <c r="B18" s="110"/>
      <c r="C18" s="1230" t="s">
        <v>742</v>
      </c>
      <c r="D18" s="1231"/>
      <c r="E18" s="140">
        <f>ejercicio</f>
        <v>2025</v>
      </c>
      <c r="F18" s="125" t="s">
        <v>196</v>
      </c>
      <c r="G18" s="128"/>
      <c r="H18" s="112"/>
      <c r="J18" s="736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37"/>
    </row>
    <row r="19" spans="2:23" ht="9" customHeight="1">
      <c r="B19" s="46"/>
      <c r="C19" s="27"/>
      <c r="D19" s="571"/>
      <c r="E19" s="30"/>
      <c r="F19" s="30"/>
      <c r="G19" s="120"/>
      <c r="H19" s="38"/>
      <c r="J19" s="736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37"/>
    </row>
    <row r="20" spans="2:23" s="39" customFormat="1" ht="22.95" customHeight="1" thickBot="1">
      <c r="B20" s="64"/>
      <c r="C20" s="1306" t="s">
        <v>900</v>
      </c>
      <c r="D20" s="1307"/>
      <c r="E20" s="131">
        <f>SUM(E21:E30)</f>
        <v>1165898.83</v>
      </c>
      <c r="F20" s="1315"/>
      <c r="G20" s="1316"/>
      <c r="H20" s="55"/>
      <c r="J20" s="736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37"/>
    </row>
    <row r="21" spans="2:23" ht="22.95" customHeight="1">
      <c r="B21" s="46"/>
      <c r="C21" s="607" t="s">
        <v>901</v>
      </c>
      <c r="D21" s="682"/>
      <c r="E21" s="1051">
        <f>'FC-3_CPyG'!H16+'FC-3_CPyG'!H22-'FC-3_CPyG'!H20</f>
        <v>525348.82999999996</v>
      </c>
      <c r="F21" s="1317"/>
      <c r="G21" s="1318"/>
      <c r="H21" s="38"/>
      <c r="J21" s="736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37"/>
    </row>
    <row r="22" spans="2:23" ht="22.95" customHeight="1">
      <c r="B22" s="46"/>
      <c r="C22" s="607" t="s">
        <v>902</v>
      </c>
      <c r="D22" s="682"/>
      <c r="E22" s="1051">
        <f>'FC-3_CPyG'!H29</f>
        <v>0</v>
      </c>
      <c r="F22" s="1168"/>
      <c r="G22" s="1169"/>
      <c r="H22" s="38"/>
      <c r="J22" s="736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37"/>
    </row>
    <row r="23" spans="2:23" ht="22.95" customHeight="1">
      <c r="B23" s="46"/>
      <c r="C23" s="607" t="s">
        <v>903</v>
      </c>
      <c r="D23" s="682"/>
      <c r="E23" s="1051">
        <f>'FC-3_CPyG'!H31</f>
        <v>54950</v>
      </c>
      <c r="F23" s="1168"/>
      <c r="G23" s="1169"/>
      <c r="H23" s="38"/>
      <c r="J23" s="736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37"/>
    </row>
    <row r="24" spans="2:23" ht="22.95" customHeight="1">
      <c r="B24" s="46"/>
      <c r="C24" s="607" t="s">
        <v>904</v>
      </c>
      <c r="D24" s="682"/>
      <c r="E24" s="1051">
        <f>'FC-9_TRANS_SUBV'!J73+'FC-9_TRANS_SUBV'!J88</f>
        <v>585600</v>
      </c>
      <c r="F24" s="1168"/>
      <c r="G24" s="1169"/>
      <c r="H24" s="38"/>
      <c r="J24" s="736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37"/>
    </row>
    <row r="25" spans="2:23" ht="22.95" customHeight="1">
      <c r="B25" s="46"/>
      <c r="C25" s="607" t="s">
        <v>905</v>
      </c>
      <c r="D25" s="682"/>
      <c r="E25" s="1051">
        <f>'FC-3_CPyG'!H49</f>
        <v>0</v>
      </c>
      <c r="F25" s="1168"/>
      <c r="G25" s="1169"/>
      <c r="H25" s="38"/>
      <c r="J25" s="736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37"/>
    </row>
    <row r="26" spans="2:23" ht="22.95" customHeight="1">
      <c r="B26" s="46"/>
      <c r="C26" s="607" t="s">
        <v>906</v>
      </c>
      <c r="D26" s="682"/>
      <c r="E26" s="1051">
        <f>'FC-3_CPyG'!H48</f>
        <v>0</v>
      </c>
      <c r="F26" s="1168"/>
      <c r="G26" s="1169"/>
      <c r="H26" s="38"/>
      <c r="J26" s="736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37"/>
    </row>
    <row r="27" spans="2:23" ht="22.95" customHeight="1">
      <c r="B27" s="46"/>
      <c r="C27" s="607" t="s">
        <v>907</v>
      </c>
      <c r="D27" s="682"/>
      <c r="E27" s="621"/>
      <c r="F27" s="606" t="s">
        <v>908</v>
      </c>
      <c r="G27" s="938"/>
      <c r="H27" s="38"/>
      <c r="J27" s="736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37"/>
    </row>
    <row r="28" spans="2:23" ht="22.95" customHeight="1">
      <c r="B28" s="46"/>
      <c r="C28" s="607" t="s">
        <v>909</v>
      </c>
      <c r="D28" s="682"/>
      <c r="E28" s="1051">
        <f>'FC-3_1_INF_ADIC_CPyG'!E52</f>
        <v>0</v>
      </c>
      <c r="F28" s="1168"/>
      <c r="G28" s="1169"/>
      <c r="H28" s="38"/>
      <c r="J28" s="736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37"/>
    </row>
    <row r="29" spans="2:23" ht="22.95" customHeight="1">
      <c r="B29" s="46"/>
      <c r="C29" s="607" t="s">
        <v>910</v>
      </c>
      <c r="D29" s="682"/>
      <c r="E29" s="1051">
        <f>'FC-9_TRANS_SUBV'!H97</f>
        <v>0</v>
      </c>
      <c r="F29" s="1168"/>
      <c r="G29" s="1169"/>
      <c r="H29" s="38"/>
      <c r="J29" s="736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37"/>
    </row>
    <row r="30" spans="2:23" ht="22.95" customHeight="1">
      <c r="B30" s="46"/>
      <c r="C30" s="608" t="s">
        <v>911</v>
      </c>
      <c r="D30" s="1033"/>
      <c r="E30" s="1052">
        <f>'FC-9_TRANS_SUBV'!N41</f>
        <v>0</v>
      </c>
      <c r="F30" s="1160"/>
      <c r="G30" s="1161"/>
      <c r="H30" s="38"/>
      <c r="J30" s="736"/>
      <c r="K30" s="707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37"/>
    </row>
    <row r="31" spans="2:23" ht="9" customHeight="1">
      <c r="B31" s="46"/>
      <c r="C31" s="27"/>
      <c r="D31" s="571"/>
      <c r="E31" s="30"/>
      <c r="F31" s="30"/>
      <c r="G31" s="120"/>
      <c r="H31" s="38"/>
      <c r="J31" s="736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37"/>
    </row>
    <row r="32" spans="2:23" ht="22.95" customHeight="1" thickBot="1">
      <c r="B32" s="46"/>
      <c r="C32" s="1306" t="s">
        <v>912</v>
      </c>
      <c r="D32" s="1307"/>
      <c r="E32" s="131">
        <f>SUM(E33:E44)</f>
        <v>-1341611.6400000001</v>
      </c>
      <c r="F32" s="1315"/>
      <c r="G32" s="1316"/>
      <c r="H32" s="38"/>
      <c r="J32" s="736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37"/>
    </row>
    <row r="33" spans="2:23" ht="22.95" customHeight="1">
      <c r="B33" s="46"/>
      <c r="C33" s="607" t="s">
        <v>260</v>
      </c>
      <c r="D33" s="682"/>
      <c r="E33" s="1051">
        <f>'FC-3_CPyG'!H30+'FC-3_CPyG'!H23+'FC-3_CPyG'!H28-E44</f>
        <v>-320896.55</v>
      </c>
      <c r="F33" s="1168"/>
      <c r="G33" s="1169"/>
      <c r="H33" s="38"/>
      <c r="J33" s="736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37"/>
    </row>
    <row r="34" spans="2:23" ht="22.95" customHeight="1">
      <c r="B34" s="46"/>
      <c r="C34" s="607" t="s">
        <v>913</v>
      </c>
      <c r="D34" s="682"/>
      <c r="E34" s="1051">
        <f>+'FC-3_CPyG'!H32</f>
        <v>-604219.26</v>
      </c>
      <c r="F34" s="937"/>
      <c r="G34" s="938"/>
      <c r="H34" s="38"/>
      <c r="J34" s="736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37"/>
    </row>
    <row r="35" spans="2:23" ht="22.95" customHeight="1">
      <c r="B35" s="46"/>
      <c r="C35" s="607" t="s">
        <v>914</v>
      </c>
      <c r="D35" s="682"/>
      <c r="E35" s="1051">
        <f>'FC-3_CPyG'!H36+'FC-3_CPyG'!H39</f>
        <v>-402914.29</v>
      </c>
      <c r="F35" s="937"/>
      <c r="G35" s="938"/>
      <c r="H35" s="38"/>
      <c r="J35" s="736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37"/>
    </row>
    <row r="36" spans="2:23" ht="22.95" customHeight="1">
      <c r="B36" s="46"/>
      <c r="C36" s="607" t="s">
        <v>915</v>
      </c>
      <c r="D36" s="682"/>
      <c r="E36" s="1051">
        <f>'FC-3_CPyG'!H51+'FC-3_CPyG'!H52</f>
        <v>0</v>
      </c>
      <c r="F36" s="937"/>
      <c r="G36" s="938"/>
      <c r="H36" s="38"/>
      <c r="J36" s="736"/>
      <c r="K36" s="707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37"/>
    </row>
    <row r="37" spans="2:23" ht="22.95" customHeight="1">
      <c r="B37" s="46"/>
      <c r="C37" s="607" t="s">
        <v>916</v>
      </c>
      <c r="D37" s="682"/>
      <c r="E37" s="1051">
        <f>-'FC-3_1_INF_ADIC_CPyG'!E72-'FC-3_1_INF_ADIC_CPyG'!E73</f>
        <v>0</v>
      </c>
      <c r="F37" s="937"/>
      <c r="G37" s="938"/>
      <c r="H37" s="38"/>
      <c r="J37" s="736"/>
      <c r="K37" s="707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37"/>
    </row>
    <row r="38" spans="2:23" ht="22.95" customHeight="1">
      <c r="B38" s="46"/>
      <c r="C38" s="607" t="s">
        <v>917</v>
      </c>
      <c r="D38" s="682"/>
      <c r="E38" s="1051">
        <f>'FC-3_CPyG'!H37</f>
        <v>-1581.54</v>
      </c>
      <c r="F38" s="606"/>
      <c r="G38" s="938"/>
      <c r="H38" s="38"/>
      <c r="J38" s="736"/>
      <c r="K38" s="707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37"/>
    </row>
    <row r="39" spans="2:23" ht="22.95" customHeight="1">
      <c r="B39" s="46"/>
      <c r="C39" s="607" t="s">
        <v>918</v>
      </c>
      <c r="D39" s="682"/>
      <c r="E39" s="1051">
        <f>'FC-3_1_INF_ADIC_CPyG'!E61</f>
        <v>0</v>
      </c>
      <c r="F39" s="937"/>
      <c r="G39" s="938"/>
      <c r="H39" s="38"/>
      <c r="J39" s="736"/>
      <c r="K39" s="707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37"/>
    </row>
    <row r="40" spans="2:23" ht="22.95" customHeight="1">
      <c r="B40" s="46"/>
      <c r="C40" s="607" t="s">
        <v>919</v>
      </c>
      <c r="D40" s="682"/>
      <c r="E40" s="1051">
        <f>-'FC-7_INF'!F31-'FC-7_INF'!H31+'FC-7_INF'!N31-'FC-7_INF'!F33-'FC-7_INF'!H33-'FC-7_INF'!K33</f>
        <v>-12000</v>
      </c>
      <c r="F40" s="937"/>
      <c r="G40" s="938"/>
      <c r="H40" s="38"/>
      <c r="J40" s="736"/>
      <c r="K40" s="707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37"/>
    </row>
    <row r="41" spans="2:23" ht="22.95" customHeight="1">
      <c r="B41" s="46"/>
      <c r="C41" s="607" t="s">
        <v>920</v>
      </c>
      <c r="D41" s="682"/>
      <c r="E41" s="1051">
        <f>'FC-3_CPyG'!H28</f>
        <v>0</v>
      </c>
      <c r="F41" s="937"/>
      <c r="G41" s="938"/>
      <c r="H41" s="38"/>
      <c r="J41" s="736"/>
      <c r="K41" s="707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37"/>
    </row>
    <row r="42" spans="2:23" ht="22.95" customHeight="1">
      <c r="B42" s="46"/>
      <c r="C42" s="607" t="s">
        <v>921</v>
      </c>
      <c r="D42" s="682"/>
      <c r="E42" s="1051">
        <f>'_FC-16_1_ INF_ADIC_ESTAB_PRESUP'!G19+'_FC-16_1_ INF_ADIC_ESTAB_PRESUP'!G28</f>
        <v>0</v>
      </c>
      <c r="F42" s="606"/>
      <c r="G42" s="939"/>
      <c r="H42" s="38"/>
      <c r="J42" s="736"/>
      <c r="K42" s="707"/>
      <c r="L42" s="707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37"/>
    </row>
    <row r="43" spans="2:23" ht="22.95" customHeight="1">
      <c r="B43" s="46"/>
      <c r="C43" s="607" t="s">
        <v>922</v>
      </c>
      <c r="D43" s="682"/>
      <c r="E43" s="621"/>
      <c r="F43" s="1319" t="s">
        <v>908</v>
      </c>
      <c r="G43" s="1320"/>
      <c r="H43" s="38"/>
      <c r="J43" s="736"/>
      <c r="K43" s="707"/>
      <c r="L43" s="707"/>
      <c r="M43" s="707"/>
      <c r="N43" s="707"/>
      <c r="O43" s="707"/>
      <c r="P43" s="707"/>
      <c r="Q43" s="707"/>
      <c r="R43" s="707"/>
      <c r="S43" s="707"/>
      <c r="T43" s="707"/>
      <c r="U43" s="707"/>
      <c r="V43" s="707"/>
      <c r="W43" s="737"/>
    </row>
    <row r="44" spans="2:23" ht="22.95" customHeight="1">
      <c r="B44" s="46"/>
      <c r="C44" s="608" t="s">
        <v>923</v>
      </c>
      <c r="D44" s="1033"/>
      <c r="E44" s="1052">
        <f>-'FC-3_1_INF_ADIC_CPyG'!E92</f>
        <v>0</v>
      </c>
      <c r="F44" s="1160"/>
      <c r="G44" s="1161"/>
      <c r="H44" s="38"/>
      <c r="J44" s="741" t="str">
        <f>IF(E44=0,"","En el proceso de revisión del PAIF, si han habido ayudas concedidas, debe descontarse el importe en la correspondiente celda E33 a E43 en el que estuviese incluido su gasto")</f>
        <v/>
      </c>
      <c r="K44" s="707"/>
      <c r="L44" s="707"/>
      <c r="M44" s="707"/>
      <c r="N44" s="707"/>
      <c r="O44" s="707"/>
      <c r="P44" s="707"/>
      <c r="Q44" s="707"/>
      <c r="R44" s="707"/>
      <c r="S44" s="707"/>
      <c r="T44" s="707"/>
      <c r="U44" s="707"/>
      <c r="V44" s="707"/>
      <c r="W44" s="737"/>
    </row>
    <row r="45" spans="2:23" ht="9" customHeight="1">
      <c r="B45" s="46"/>
      <c r="C45" s="27"/>
      <c r="D45" s="571"/>
      <c r="E45" s="30"/>
      <c r="F45" s="30"/>
      <c r="G45" s="120"/>
      <c r="H45" s="38"/>
      <c r="J45" s="736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37"/>
    </row>
    <row r="46" spans="2:23" ht="22.95" customHeight="1" thickBot="1">
      <c r="B46" s="46"/>
      <c r="C46" s="61" t="s">
        <v>924</v>
      </c>
      <c r="D46" s="609"/>
      <c r="E46" s="69">
        <f>+E20+E32</f>
        <v>-175712.81000000006</v>
      </c>
      <c r="F46" s="30"/>
      <c r="G46" s="30"/>
      <c r="H46" s="38"/>
      <c r="J46" s="736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37"/>
    </row>
    <row r="47" spans="2:23" ht="22.95" customHeight="1">
      <c r="B47" s="46"/>
      <c r="C47" s="599"/>
      <c r="D47" s="599"/>
      <c r="E47" s="96"/>
      <c r="F47" s="96"/>
      <c r="G47" s="30"/>
      <c r="H47" s="38"/>
      <c r="J47" s="736"/>
      <c r="K47" s="707"/>
      <c r="L47" s="707"/>
      <c r="M47" s="707"/>
      <c r="N47" s="707"/>
      <c r="O47" s="707"/>
      <c r="P47" s="707"/>
      <c r="Q47" s="707"/>
      <c r="R47" s="707"/>
      <c r="S47" s="707"/>
      <c r="T47" s="707"/>
      <c r="U47" s="707"/>
      <c r="V47" s="707"/>
      <c r="W47" s="737"/>
    </row>
    <row r="48" spans="2:23" ht="22.95" customHeight="1">
      <c r="B48" s="46"/>
      <c r="C48" s="67" t="s">
        <v>224</v>
      </c>
      <c r="D48" s="599"/>
      <c r="E48" s="96"/>
      <c r="F48" s="96"/>
      <c r="G48" s="30"/>
      <c r="H48" s="38"/>
      <c r="J48" s="736"/>
      <c r="K48" s="707"/>
      <c r="L48" s="707"/>
      <c r="M48" s="707"/>
      <c r="N48" s="707"/>
      <c r="O48" s="707"/>
      <c r="P48" s="707"/>
      <c r="Q48" s="707"/>
      <c r="R48" s="707"/>
      <c r="S48" s="707"/>
      <c r="T48" s="707"/>
      <c r="U48" s="707"/>
      <c r="V48" s="707"/>
      <c r="W48" s="737"/>
    </row>
    <row r="49" spans="2:23" ht="22.95" customHeight="1">
      <c r="B49" s="46"/>
      <c r="C49" s="65" t="s">
        <v>925</v>
      </c>
      <c r="D49" s="599"/>
      <c r="E49" s="96"/>
      <c r="F49" s="96"/>
      <c r="G49" s="30"/>
      <c r="H49" s="38"/>
      <c r="J49" s="736"/>
      <c r="K49" s="707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37"/>
    </row>
    <row r="50" spans="2:23" ht="22.95" customHeight="1">
      <c r="B50" s="46"/>
      <c r="C50" s="65" t="s">
        <v>926</v>
      </c>
      <c r="D50" s="599"/>
      <c r="E50" s="96"/>
      <c r="F50" s="96"/>
      <c r="G50" s="30"/>
      <c r="H50" s="38"/>
      <c r="J50" s="736"/>
      <c r="K50" s="707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37"/>
    </row>
    <row r="51" spans="2:23" ht="16.2" customHeight="1">
      <c r="B51" s="46"/>
      <c r="C51" s="65" t="s">
        <v>927</v>
      </c>
      <c r="D51" s="599"/>
      <c r="E51" s="96"/>
      <c r="F51" s="96"/>
      <c r="G51" s="30"/>
      <c r="H51" s="38"/>
      <c r="J51" s="736"/>
      <c r="K51" s="707"/>
      <c r="L51" s="707"/>
      <c r="M51" s="707"/>
      <c r="N51" s="707"/>
      <c r="O51" s="707"/>
      <c r="P51" s="707"/>
      <c r="Q51" s="707"/>
      <c r="R51" s="707"/>
      <c r="S51" s="707"/>
      <c r="T51" s="707"/>
      <c r="U51" s="707"/>
      <c r="V51" s="707"/>
      <c r="W51" s="737"/>
    </row>
    <row r="52" spans="2:23" ht="6" customHeight="1">
      <c r="B52" s="46"/>
      <c r="C52" s="65"/>
      <c r="D52" s="599"/>
      <c r="E52" s="96"/>
      <c r="F52" s="96"/>
      <c r="G52" s="30"/>
      <c r="H52" s="38"/>
      <c r="J52" s="736"/>
      <c r="K52" s="707"/>
      <c r="L52" s="707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37"/>
    </row>
    <row r="53" spans="2:23" ht="16.2" customHeight="1">
      <c r="B53" s="46"/>
      <c r="C53" s="671" t="s">
        <v>928</v>
      </c>
      <c r="E53" s="96"/>
      <c r="F53" s="96"/>
      <c r="G53" s="30"/>
      <c r="H53" s="38"/>
      <c r="J53" s="736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37"/>
    </row>
    <row r="54" spans="2:23" ht="16.2" customHeight="1">
      <c r="B54" s="46"/>
      <c r="D54" s="65" t="s">
        <v>929</v>
      </c>
      <c r="E54" s="96"/>
      <c r="F54" s="96"/>
      <c r="G54" s="30"/>
      <c r="H54" s="38"/>
      <c r="J54" s="736"/>
      <c r="K54" s="707"/>
      <c r="L54" s="707"/>
      <c r="M54" s="707"/>
      <c r="N54" s="707"/>
      <c r="O54" s="707"/>
      <c r="P54" s="707"/>
      <c r="Q54" s="707"/>
      <c r="R54" s="707"/>
      <c r="S54" s="707"/>
      <c r="T54" s="707"/>
      <c r="U54" s="707"/>
      <c r="V54" s="707"/>
      <c r="W54" s="737"/>
    </row>
    <row r="55" spans="2:23" ht="16.2" customHeight="1">
      <c r="B55" s="46"/>
      <c r="D55" s="65" t="s">
        <v>930</v>
      </c>
      <c r="E55" s="96"/>
      <c r="F55" s="96"/>
      <c r="G55" s="30"/>
      <c r="H55" s="38"/>
      <c r="J55" s="736"/>
      <c r="K55" s="707"/>
      <c r="L55" s="707"/>
      <c r="M55" s="707"/>
      <c r="N55" s="707"/>
      <c r="O55" s="707"/>
      <c r="P55" s="707"/>
      <c r="Q55" s="707"/>
      <c r="R55" s="707"/>
      <c r="S55" s="707"/>
      <c r="T55" s="707"/>
      <c r="U55" s="707"/>
      <c r="V55" s="707"/>
      <c r="W55" s="737"/>
    </row>
    <row r="56" spans="2:23" ht="16.2" customHeight="1">
      <c r="B56" s="46"/>
      <c r="D56" s="65" t="s">
        <v>931</v>
      </c>
      <c r="E56" s="96"/>
      <c r="F56" s="96"/>
      <c r="G56" s="30"/>
      <c r="H56" s="38"/>
      <c r="J56" s="736"/>
      <c r="K56" s="707"/>
      <c r="L56" s="707"/>
      <c r="M56" s="707"/>
      <c r="N56" s="707"/>
      <c r="O56" s="707"/>
      <c r="P56" s="707"/>
      <c r="Q56" s="707"/>
      <c r="R56" s="707"/>
      <c r="S56" s="707"/>
      <c r="T56" s="707"/>
      <c r="U56" s="707"/>
      <c r="V56" s="707"/>
      <c r="W56" s="737"/>
    </row>
    <row r="57" spans="2:23" ht="16.2" customHeight="1">
      <c r="B57" s="46"/>
      <c r="D57" s="65" t="s">
        <v>932</v>
      </c>
      <c r="E57" s="96"/>
      <c r="F57" s="96"/>
      <c r="G57" s="30"/>
      <c r="H57" s="38"/>
      <c r="J57" s="736"/>
      <c r="K57" s="707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37"/>
    </row>
    <row r="58" spans="2:23" ht="16.2" customHeight="1">
      <c r="B58" s="46"/>
      <c r="C58" s="671" t="s">
        <v>933</v>
      </c>
      <c r="E58" s="96"/>
      <c r="F58" s="96"/>
      <c r="G58" s="30"/>
      <c r="H58" s="38"/>
      <c r="J58" s="736"/>
      <c r="K58" s="707"/>
      <c r="L58" s="707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37"/>
    </row>
    <row r="59" spans="2:23" ht="16.2" customHeight="1">
      <c r="B59" s="46"/>
      <c r="D59" s="65" t="s">
        <v>841</v>
      </c>
      <c r="E59" s="96"/>
      <c r="F59" s="96"/>
      <c r="G59" s="30"/>
      <c r="H59" s="38"/>
      <c r="J59" s="736"/>
      <c r="K59" s="707"/>
      <c r="L59" s="707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37"/>
    </row>
    <row r="60" spans="2:23" ht="16.2" customHeight="1">
      <c r="B60" s="46"/>
      <c r="D60" s="65" t="s">
        <v>934</v>
      </c>
      <c r="E60" s="96"/>
      <c r="F60" s="96"/>
      <c r="G60" s="30"/>
      <c r="H60" s="38"/>
      <c r="J60" s="736"/>
      <c r="K60" s="707"/>
      <c r="L60" s="707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37"/>
    </row>
    <row r="61" spans="2:23" ht="16.2" customHeight="1">
      <c r="B61" s="46"/>
      <c r="C61" s="671" t="s">
        <v>935</v>
      </c>
      <c r="E61" s="96"/>
      <c r="F61" s="96"/>
      <c r="G61" s="30"/>
      <c r="H61" s="38"/>
      <c r="J61" s="736"/>
      <c r="K61" s="707"/>
      <c r="L61" s="707"/>
      <c r="M61" s="707"/>
      <c r="N61" s="707"/>
      <c r="O61" s="707"/>
      <c r="P61" s="707"/>
      <c r="Q61" s="707"/>
      <c r="R61" s="707"/>
      <c r="S61" s="707"/>
      <c r="T61" s="707"/>
      <c r="U61" s="707"/>
      <c r="V61" s="707"/>
      <c r="W61" s="737"/>
    </row>
    <row r="62" spans="2:23" ht="16.2" customHeight="1">
      <c r="B62" s="46"/>
      <c r="D62" s="65" t="s">
        <v>936</v>
      </c>
      <c r="E62" s="96"/>
      <c r="F62" s="96"/>
      <c r="G62" s="30"/>
      <c r="H62" s="38"/>
      <c r="J62" s="736"/>
      <c r="K62" s="707"/>
      <c r="L62" s="707"/>
      <c r="M62" s="707"/>
      <c r="N62" s="707"/>
      <c r="O62" s="707"/>
      <c r="P62" s="707"/>
      <c r="Q62" s="707"/>
      <c r="R62" s="707"/>
      <c r="S62" s="707"/>
      <c r="T62" s="707"/>
      <c r="U62" s="707"/>
      <c r="V62" s="707"/>
      <c r="W62" s="737"/>
    </row>
    <row r="63" spans="2:23" ht="16.2" customHeight="1">
      <c r="B63" s="46"/>
      <c r="D63" s="65" t="s">
        <v>937</v>
      </c>
      <c r="E63" s="96"/>
      <c r="F63" s="96"/>
      <c r="G63" s="30"/>
      <c r="H63" s="38"/>
      <c r="J63" s="736"/>
      <c r="K63" s="707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37"/>
    </row>
    <row r="64" spans="2:23" ht="16.2" customHeight="1">
      <c r="B64" s="46"/>
      <c r="D64" s="65" t="s">
        <v>938</v>
      </c>
      <c r="E64" s="96"/>
      <c r="F64" s="96"/>
      <c r="G64" s="30"/>
      <c r="H64" s="38"/>
      <c r="J64" s="736"/>
      <c r="K64" s="707"/>
      <c r="L64" s="707"/>
      <c r="M64" s="707"/>
      <c r="N64" s="707"/>
      <c r="O64" s="707"/>
      <c r="P64" s="707"/>
      <c r="Q64" s="707"/>
      <c r="R64" s="707"/>
      <c r="S64" s="707"/>
      <c r="T64" s="707"/>
      <c r="U64" s="707"/>
      <c r="V64" s="707"/>
      <c r="W64" s="737"/>
    </row>
    <row r="65" spans="2:23" ht="16.2" customHeight="1">
      <c r="B65" s="46"/>
      <c r="D65" s="65" t="s">
        <v>939</v>
      </c>
      <c r="E65" s="96"/>
      <c r="F65" s="96"/>
      <c r="G65" s="30"/>
      <c r="H65" s="38"/>
      <c r="J65" s="736"/>
      <c r="K65" s="707"/>
      <c r="L65" s="707"/>
      <c r="M65" s="707"/>
      <c r="N65" s="707"/>
      <c r="O65" s="707"/>
      <c r="P65" s="707"/>
      <c r="Q65" s="707"/>
      <c r="R65" s="707"/>
      <c r="S65" s="707"/>
      <c r="T65" s="707"/>
      <c r="U65" s="707"/>
      <c r="V65" s="707"/>
      <c r="W65" s="737"/>
    </row>
    <row r="66" spans="2:23" ht="16.2" customHeight="1">
      <c r="B66" s="46"/>
      <c r="C66" s="671" t="s">
        <v>940</v>
      </c>
      <c r="E66" s="96"/>
      <c r="F66" s="96"/>
      <c r="G66" s="30"/>
      <c r="H66" s="38"/>
      <c r="J66" s="736"/>
      <c r="K66" s="707"/>
      <c r="L66" s="707"/>
      <c r="M66" s="707"/>
      <c r="N66" s="707"/>
      <c r="O66" s="707"/>
      <c r="P66" s="707"/>
      <c r="Q66" s="707"/>
      <c r="R66" s="707"/>
      <c r="S66" s="707"/>
      <c r="T66" s="707"/>
      <c r="U66" s="707"/>
      <c r="V66" s="707"/>
      <c r="W66" s="737"/>
    </row>
    <row r="67" spans="2:23" ht="16.2" customHeight="1">
      <c r="B67" s="46"/>
      <c r="D67" s="65" t="s">
        <v>941</v>
      </c>
      <c r="E67" s="96"/>
      <c r="F67" s="96"/>
      <c r="G67" s="30"/>
      <c r="H67" s="38"/>
      <c r="J67" s="736"/>
      <c r="K67" s="707"/>
      <c r="L67" s="707"/>
      <c r="M67" s="707"/>
      <c r="N67" s="707"/>
      <c r="O67" s="707"/>
      <c r="P67" s="707"/>
      <c r="Q67" s="707"/>
      <c r="R67" s="707"/>
      <c r="S67" s="707"/>
      <c r="T67" s="707"/>
      <c r="U67" s="707"/>
      <c r="V67" s="707"/>
      <c r="W67" s="737"/>
    </row>
    <row r="68" spans="2:23" ht="16.2" customHeight="1">
      <c r="B68" s="46"/>
      <c r="D68" s="65" t="s">
        <v>942</v>
      </c>
      <c r="E68" s="96"/>
      <c r="F68" s="96"/>
      <c r="G68" s="30"/>
      <c r="H68" s="38"/>
      <c r="J68" s="736"/>
      <c r="K68" s="707"/>
      <c r="L68" s="707"/>
      <c r="M68" s="707"/>
      <c r="N68" s="707"/>
      <c r="O68" s="707"/>
      <c r="P68" s="707"/>
      <c r="Q68" s="707"/>
      <c r="R68" s="707"/>
      <c r="S68" s="707"/>
      <c r="T68" s="707"/>
      <c r="U68" s="707"/>
      <c r="V68" s="707"/>
      <c r="W68" s="737"/>
    </row>
    <row r="69" spans="2:23" ht="16.2" customHeight="1">
      <c r="B69" s="46"/>
      <c r="D69" s="65" t="s">
        <v>860</v>
      </c>
      <c r="E69" s="96"/>
      <c r="F69" s="96"/>
      <c r="G69" s="30"/>
      <c r="H69" s="38"/>
      <c r="J69" s="736"/>
      <c r="K69" s="707"/>
      <c r="L69" s="707"/>
      <c r="M69" s="707"/>
      <c r="N69" s="707"/>
      <c r="O69" s="707"/>
      <c r="P69" s="707"/>
      <c r="Q69" s="707"/>
      <c r="R69" s="707"/>
      <c r="S69" s="707"/>
      <c r="T69" s="707"/>
      <c r="U69" s="707"/>
      <c r="V69" s="707"/>
      <c r="W69" s="737"/>
    </row>
    <row r="70" spans="2:23" ht="16.2" customHeight="1">
      <c r="B70" s="46"/>
      <c r="D70" s="65" t="s">
        <v>943</v>
      </c>
      <c r="E70" s="96"/>
      <c r="F70" s="96"/>
      <c r="G70" s="30"/>
      <c r="H70" s="38"/>
      <c r="J70" s="736"/>
      <c r="K70" s="707"/>
      <c r="L70" s="707"/>
      <c r="M70" s="707"/>
      <c r="N70" s="707"/>
      <c r="O70" s="707"/>
      <c r="P70" s="707"/>
      <c r="Q70" s="707"/>
      <c r="R70" s="707"/>
      <c r="S70" s="707"/>
      <c r="T70" s="707"/>
      <c r="U70" s="707"/>
      <c r="V70" s="707"/>
      <c r="W70" s="737"/>
    </row>
    <row r="71" spans="2:23" ht="16.2" customHeight="1">
      <c r="B71" s="46"/>
      <c r="D71" s="65" t="s">
        <v>944</v>
      </c>
      <c r="E71" s="96"/>
      <c r="F71" s="96"/>
      <c r="G71" s="30"/>
      <c r="H71" s="38"/>
      <c r="J71" s="736"/>
      <c r="K71" s="707"/>
      <c r="L71" s="707"/>
      <c r="M71" s="707"/>
      <c r="N71" s="707"/>
      <c r="O71" s="707"/>
      <c r="P71" s="707"/>
      <c r="Q71" s="707"/>
      <c r="R71" s="707"/>
      <c r="S71" s="707"/>
      <c r="T71" s="707"/>
      <c r="U71" s="707"/>
      <c r="V71" s="707"/>
      <c r="W71" s="737"/>
    </row>
    <row r="72" spans="2:23" ht="16.2" customHeight="1">
      <c r="B72" s="46"/>
      <c r="C72" s="671" t="s">
        <v>945</v>
      </c>
      <c r="E72" s="96"/>
      <c r="F72" s="96"/>
      <c r="G72" s="30"/>
      <c r="H72" s="38"/>
      <c r="J72" s="736"/>
      <c r="K72" s="707"/>
      <c r="L72" s="707"/>
      <c r="M72" s="707"/>
      <c r="N72" s="707"/>
      <c r="O72" s="707"/>
      <c r="P72" s="707"/>
      <c r="Q72" s="707"/>
      <c r="R72" s="707"/>
      <c r="S72" s="707"/>
      <c r="T72" s="707"/>
      <c r="U72" s="707"/>
      <c r="V72" s="707"/>
      <c r="W72" s="737"/>
    </row>
    <row r="73" spans="2:23" ht="16.2" customHeight="1">
      <c r="B73" s="46"/>
      <c r="D73" s="65" t="s">
        <v>946</v>
      </c>
      <c r="E73" s="96"/>
      <c r="F73" s="96"/>
      <c r="G73" s="30"/>
      <c r="H73" s="38"/>
      <c r="J73" s="736"/>
      <c r="K73" s="707"/>
      <c r="L73" s="707"/>
      <c r="M73" s="707"/>
      <c r="N73" s="707"/>
      <c r="O73" s="707"/>
      <c r="P73" s="707"/>
      <c r="Q73" s="707"/>
      <c r="R73" s="707"/>
      <c r="S73" s="707"/>
      <c r="T73" s="707"/>
      <c r="U73" s="707"/>
      <c r="V73" s="707"/>
      <c r="W73" s="737"/>
    </row>
    <row r="74" spans="2:23" ht="16.2" customHeight="1">
      <c r="B74" s="46"/>
      <c r="D74" s="65" t="s">
        <v>947</v>
      </c>
      <c r="E74" s="96"/>
      <c r="F74" s="96"/>
      <c r="G74" s="30"/>
      <c r="H74" s="38"/>
      <c r="J74" s="736"/>
      <c r="K74" s="707"/>
      <c r="L74" s="707"/>
      <c r="M74" s="707"/>
      <c r="N74" s="707"/>
      <c r="O74" s="707"/>
      <c r="P74" s="707"/>
      <c r="Q74" s="707"/>
      <c r="R74" s="707"/>
      <c r="S74" s="707"/>
      <c r="T74" s="707"/>
      <c r="U74" s="707"/>
      <c r="V74" s="707"/>
      <c r="W74" s="737"/>
    </row>
    <row r="75" spans="2:23" ht="16.2" customHeight="1">
      <c r="B75" s="46"/>
      <c r="D75" s="65" t="s">
        <v>948</v>
      </c>
      <c r="E75" s="96"/>
      <c r="F75" s="96"/>
      <c r="G75" s="30"/>
      <c r="H75" s="38"/>
      <c r="J75" s="736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37"/>
    </row>
    <row r="76" spans="2:23" ht="16.2" customHeight="1">
      <c r="B76" s="46"/>
      <c r="D76" s="65" t="s">
        <v>949</v>
      </c>
      <c r="E76" s="96"/>
      <c r="F76" s="96"/>
      <c r="G76" s="30"/>
      <c r="H76" s="38"/>
      <c r="J76" s="736"/>
      <c r="K76" s="707"/>
      <c r="L76" s="707"/>
      <c r="M76" s="707"/>
      <c r="N76" s="707"/>
      <c r="O76" s="707"/>
      <c r="P76" s="707"/>
      <c r="Q76" s="707"/>
      <c r="R76" s="707"/>
      <c r="S76" s="707"/>
      <c r="T76" s="707"/>
      <c r="U76" s="707"/>
      <c r="V76" s="707"/>
      <c r="W76" s="737"/>
    </row>
    <row r="77" spans="2:23" ht="16.2" customHeight="1">
      <c r="B77" s="46"/>
      <c r="D77" s="65" t="s">
        <v>950</v>
      </c>
      <c r="E77" s="96"/>
      <c r="F77" s="96"/>
      <c r="G77" s="30"/>
      <c r="H77" s="38"/>
      <c r="J77" s="736"/>
      <c r="K77" s="707"/>
      <c r="L77" s="707"/>
      <c r="M77" s="707"/>
      <c r="N77" s="707"/>
      <c r="O77" s="707"/>
      <c r="P77" s="707"/>
      <c r="Q77" s="707"/>
      <c r="R77" s="707"/>
      <c r="S77" s="707"/>
      <c r="T77" s="707"/>
      <c r="U77" s="707"/>
      <c r="V77" s="707"/>
      <c r="W77" s="737"/>
    </row>
    <row r="78" spans="2:23" ht="16.2" customHeight="1">
      <c r="B78" s="46"/>
      <c r="D78" s="65" t="s">
        <v>951</v>
      </c>
      <c r="E78" s="96"/>
      <c r="F78" s="96"/>
      <c r="G78" s="30"/>
      <c r="H78" s="38"/>
      <c r="J78" s="736"/>
      <c r="K78" s="707"/>
      <c r="L78" s="707"/>
      <c r="M78" s="707"/>
      <c r="N78" s="707"/>
      <c r="O78" s="707"/>
      <c r="P78" s="707"/>
      <c r="Q78" s="707"/>
      <c r="R78" s="707"/>
      <c r="S78" s="707"/>
      <c r="T78" s="707"/>
      <c r="U78" s="707"/>
      <c r="V78" s="707"/>
      <c r="W78" s="737"/>
    </row>
    <row r="79" spans="2:23" ht="16.2" customHeight="1">
      <c r="B79" s="46"/>
      <c r="C79" s="671" t="s">
        <v>952</v>
      </c>
      <c r="E79" s="96"/>
      <c r="F79" s="96"/>
      <c r="G79" s="30"/>
      <c r="H79" s="38"/>
      <c r="J79" s="736"/>
      <c r="K79" s="707"/>
      <c r="L79" s="707"/>
      <c r="M79" s="707"/>
      <c r="N79" s="707"/>
      <c r="O79" s="707"/>
      <c r="P79" s="707"/>
      <c r="Q79" s="707"/>
      <c r="R79" s="707"/>
      <c r="S79" s="707"/>
      <c r="T79" s="707"/>
      <c r="U79" s="707"/>
      <c r="V79" s="707"/>
      <c r="W79" s="737"/>
    </row>
    <row r="80" spans="2:23" ht="16.2" customHeight="1">
      <c r="B80" s="46"/>
      <c r="D80" s="65" t="s">
        <v>953</v>
      </c>
      <c r="E80" s="96"/>
      <c r="F80" s="96"/>
      <c r="G80" s="30"/>
      <c r="H80" s="38"/>
      <c r="J80" s="736"/>
      <c r="K80" s="707"/>
      <c r="L80" s="707"/>
      <c r="M80" s="707"/>
      <c r="N80" s="707"/>
      <c r="O80" s="707"/>
      <c r="P80" s="707"/>
      <c r="Q80" s="707"/>
      <c r="R80" s="707"/>
      <c r="S80" s="707"/>
      <c r="T80" s="707"/>
      <c r="U80" s="707"/>
      <c r="V80" s="707"/>
      <c r="W80" s="737"/>
    </row>
    <row r="81" spans="2:23" ht="16.2" customHeight="1">
      <c r="B81" s="46"/>
      <c r="D81" s="65" t="s">
        <v>954</v>
      </c>
      <c r="E81" s="96"/>
      <c r="F81" s="96"/>
      <c r="G81" s="30"/>
      <c r="H81" s="38"/>
      <c r="J81" s="736"/>
      <c r="K81" s="707"/>
      <c r="L81" s="707"/>
      <c r="M81" s="707"/>
      <c r="N81" s="707"/>
      <c r="O81" s="707"/>
      <c r="P81" s="707"/>
      <c r="Q81" s="707"/>
      <c r="R81" s="707"/>
      <c r="S81" s="707"/>
      <c r="T81" s="707"/>
      <c r="U81" s="707"/>
      <c r="V81" s="707"/>
      <c r="W81" s="737"/>
    </row>
    <row r="82" spans="2:23" ht="16.2" customHeight="1">
      <c r="B82" s="46"/>
      <c r="D82" s="65" t="s">
        <v>955</v>
      </c>
      <c r="E82" s="96"/>
      <c r="F82" s="96"/>
      <c r="G82" s="30"/>
      <c r="H82" s="38"/>
      <c r="J82" s="736"/>
      <c r="K82" s="707"/>
      <c r="L82" s="707"/>
      <c r="M82" s="707"/>
      <c r="N82" s="707"/>
      <c r="O82" s="707"/>
      <c r="P82" s="707"/>
      <c r="Q82" s="707"/>
      <c r="R82" s="707"/>
      <c r="S82" s="707"/>
      <c r="T82" s="707"/>
      <c r="U82" s="707"/>
      <c r="V82" s="707"/>
      <c r="W82" s="737"/>
    </row>
    <row r="83" spans="2:23" ht="16.2" customHeight="1">
      <c r="B83" s="46"/>
      <c r="D83" s="65" t="s">
        <v>956</v>
      </c>
      <c r="E83" s="96"/>
      <c r="F83" s="96"/>
      <c r="G83" s="30"/>
      <c r="H83" s="38"/>
      <c r="J83" s="736"/>
      <c r="K83" s="707"/>
      <c r="L83" s="707"/>
      <c r="M83" s="707"/>
      <c r="N83" s="707"/>
      <c r="O83" s="707"/>
      <c r="P83" s="707"/>
      <c r="Q83" s="707"/>
      <c r="R83" s="707"/>
      <c r="S83" s="707"/>
      <c r="T83" s="707"/>
      <c r="U83" s="707"/>
      <c r="V83" s="707"/>
      <c r="W83" s="737"/>
    </row>
    <row r="84" spans="2:23" ht="30" customHeight="1">
      <c r="B84" s="46"/>
      <c r="C84" s="65" t="s">
        <v>957</v>
      </c>
      <c r="D84" s="599"/>
      <c r="E84" s="96"/>
      <c r="F84" s="96"/>
      <c r="G84" s="30"/>
      <c r="H84" s="38"/>
      <c r="J84" s="736"/>
      <c r="K84" s="707"/>
      <c r="L84" s="707"/>
      <c r="M84" s="707"/>
      <c r="N84" s="707"/>
      <c r="O84" s="707"/>
      <c r="P84" s="707"/>
      <c r="Q84" s="707"/>
      <c r="R84" s="707"/>
      <c r="S84" s="707"/>
      <c r="T84" s="707"/>
      <c r="U84" s="707"/>
      <c r="V84" s="707"/>
      <c r="W84" s="737"/>
    </row>
    <row r="85" spans="2:23" ht="22.95" customHeight="1" thickBot="1">
      <c r="B85" s="49"/>
      <c r="C85" s="1154"/>
      <c r="D85" s="1154"/>
      <c r="E85" s="25"/>
      <c r="F85" s="25"/>
      <c r="G85" s="50"/>
      <c r="H85" s="51"/>
      <c r="J85" s="738"/>
      <c r="K85" s="739"/>
      <c r="L85" s="739"/>
      <c r="M85" s="739"/>
      <c r="N85" s="739"/>
      <c r="O85" s="739"/>
      <c r="P85" s="739"/>
      <c r="Q85" s="739"/>
      <c r="R85" s="739"/>
      <c r="S85" s="739"/>
      <c r="T85" s="739"/>
      <c r="U85" s="739"/>
      <c r="V85" s="739"/>
      <c r="W85" s="740"/>
    </row>
    <row r="86" spans="2:23" ht="22.95" customHeight="1">
      <c r="I86" s="31" t="s">
        <v>179</v>
      </c>
    </row>
    <row r="87" spans="2:23" ht="13.2">
      <c r="C87" s="52" t="s">
        <v>52</v>
      </c>
      <c r="G87" s="29" t="s">
        <v>958</v>
      </c>
    </row>
    <row r="88" spans="2:23" ht="13.2">
      <c r="C88" s="52" t="s">
        <v>54</v>
      </c>
    </row>
    <row r="89" spans="2:23" ht="13.2">
      <c r="C89" s="52" t="s">
        <v>55</v>
      </c>
    </row>
    <row r="90" spans="2:23" ht="13.2">
      <c r="C90" s="52" t="s">
        <v>56</v>
      </c>
    </row>
    <row r="91" spans="2:23" ht="13.2">
      <c r="C91" s="52" t="s">
        <v>57</v>
      </c>
    </row>
    <row r="94" spans="2:23" ht="22.95" customHeight="1">
      <c r="C94" s="31" t="s">
        <v>959</v>
      </c>
    </row>
  </sheetData>
  <sheetProtection algorithmName="SHA-512" hashValue="Zj8zxsmxk9H0wIGGEH2ZKNTY3RNVDQ/leHP/6K3SEtIHZxTnaKSI32TU6esMb1Ulpkcg3AtOA5lLE9rdzD+/Jw==" saltValue="+Nj3j5VCIeXZoXY4hXLnCw==" spinCount="100000" sheet="1" objects="1" scenarios="1"/>
  <mergeCells count="21">
    <mergeCell ref="F28:G28"/>
    <mergeCell ref="F29:G29"/>
    <mergeCell ref="F30:G30"/>
    <mergeCell ref="F32:G32"/>
    <mergeCell ref="F33:G33"/>
    <mergeCell ref="G6:G7"/>
    <mergeCell ref="D9:G9"/>
    <mergeCell ref="C12:D12"/>
    <mergeCell ref="C85:D85"/>
    <mergeCell ref="F20:G20"/>
    <mergeCell ref="F21:G21"/>
    <mergeCell ref="F22:G22"/>
    <mergeCell ref="F23:G23"/>
    <mergeCell ref="F24:G24"/>
    <mergeCell ref="F25:G25"/>
    <mergeCell ref="F43:G43"/>
    <mergeCell ref="F44:G44"/>
    <mergeCell ref="C18:D18"/>
    <mergeCell ref="C20:D20"/>
    <mergeCell ref="C32:D32"/>
    <mergeCell ref="F26:G26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5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0">
    <pageSetUpPr fitToPage="1"/>
  </sheetPr>
  <dimension ref="A2:AA40"/>
  <sheetViews>
    <sheetView topLeftCell="A18" zoomScale="80" zoomScaleNormal="80" zoomScalePageLayoutView="125" workbookViewId="0">
      <selection activeCell="E15" sqref="E15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59.453125" style="31" customWidth="1"/>
    <col min="5" max="10" width="13.453125" style="32" customWidth="1"/>
    <col min="11" max="11" width="40.54296875" style="32" customWidth="1"/>
    <col min="12" max="12" width="3.453125" style="31" customWidth="1"/>
    <col min="13" max="16384" width="10.54296875" style="31"/>
  </cols>
  <sheetData>
    <row r="2" spans="1:27" ht="22.95" customHeight="1">
      <c r="D2" s="318" t="str">
        <f>_GENERAL!D2</f>
        <v>Área de la Presidenta: Igualdad y Diversidad, Hacienda y Proyectos Estratégicos</v>
      </c>
    </row>
    <row r="3" spans="1:27" ht="22.95" customHeight="1">
      <c r="D3" s="318" t="str">
        <f>_GENERAL!D3</f>
        <v>Dirección Insular de Hacienda</v>
      </c>
    </row>
    <row r="4" spans="1:27" ht="22.95" customHeight="1" thickBot="1">
      <c r="A4" s="31" t="s">
        <v>129</v>
      </c>
    </row>
    <row r="5" spans="1:27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6"/>
      <c r="N5" s="700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2"/>
    </row>
    <row r="6" spans="1:27" ht="30" customHeight="1">
      <c r="B6" s="37"/>
      <c r="C6" s="28" t="s">
        <v>2</v>
      </c>
      <c r="K6" s="1138">
        <f>ejercicio</f>
        <v>2025</v>
      </c>
      <c r="L6" s="38"/>
      <c r="N6" s="163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6"/>
    </row>
    <row r="7" spans="1:27" ht="30" customHeight="1">
      <c r="B7" s="37"/>
      <c r="C7" s="28" t="s">
        <v>3</v>
      </c>
      <c r="K7" s="1138"/>
      <c r="L7" s="38"/>
      <c r="N7" s="167"/>
      <c r="O7" s="164" t="s">
        <v>130</v>
      </c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  <c r="AA7" s="169"/>
    </row>
    <row r="8" spans="1:27" ht="30" customHeight="1">
      <c r="B8" s="37"/>
      <c r="C8" s="39"/>
      <c r="K8" s="40"/>
      <c r="L8" s="38"/>
      <c r="N8" s="724"/>
      <c r="O8" s="725"/>
      <c r="P8" s="725"/>
      <c r="Q8" s="725"/>
      <c r="R8" s="725"/>
      <c r="S8" s="725"/>
      <c r="T8" s="725"/>
      <c r="U8" s="725"/>
      <c r="V8" s="725"/>
      <c r="W8" s="725"/>
      <c r="X8" s="725"/>
      <c r="Y8" s="725"/>
      <c r="Z8" s="725"/>
      <c r="AA8" s="726"/>
    </row>
    <row r="9" spans="1:27" s="26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825"/>
      <c r="M9" s="892"/>
      <c r="N9" s="732"/>
      <c r="O9" s="733"/>
      <c r="P9" s="733"/>
      <c r="Q9" s="733"/>
      <c r="R9" s="733"/>
      <c r="S9" s="733"/>
      <c r="T9" s="733"/>
      <c r="U9" s="733"/>
      <c r="V9" s="733"/>
      <c r="W9" s="733"/>
      <c r="X9" s="733"/>
      <c r="Y9" s="733"/>
      <c r="Z9" s="733"/>
      <c r="AA9" s="734"/>
    </row>
    <row r="10" spans="1:27" ht="7.2" customHeight="1">
      <c r="B10" s="37"/>
      <c r="L10" s="38"/>
      <c r="N10" s="732"/>
      <c r="O10" s="733"/>
      <c r="P10" s="733"/>
      <c r="Q10" s="733"/>
      <c r="R10" s="733"/>
      <c r="S10" s="733"/>
      <c r="T10" s="733"/>
      <c r="U10" s="733"/>
      <c r="V10" s="733"/>
      <c r="W10" s="733"/>
      <c r="X10" s="733"/>
      <c r="Y10" s="733"/>
      <c r="Z10" s="733"/>
      <c r="AA10" s="734"/>
    </row>
    <row r="11" spans="1:27" s="45" customFormat="1" ht="30" customHeight="1">
      <c r="B11" s="41"/>
      <c r="C11" s="42" t="s">
        <v>47</v>
      </c>
      <c r="D11" s="42"/>
      <c r="E11" s="43"/>
      <c r="F11" s="43"/>
      <c r="G11" s="43"/>
      <c r="H11" s="43"/>
      <c r="I11" s="43"/>
      <c r="J11" s="43"/>
      <c r="K11" s="43"/>
      <c r="L11" s="44"/>
      <c r="N11" s="732"/>
      <c r="O11" s="733"/>
      <c r="P11" s="733"/>
      <c r="Q11" s="733"/>
      <c r="R11" s="733"/>
      <c r="S11" s="733"/>
      <c r="T11" s="733"/>
      <c r="U11" s="733"/>
      <c r="V11" s="733"/>
      <c r="W11" s="733"/>
      <c r="X11" s="733"/>
      <c r="Y11" s="733"/>
      <c r="Z11" s="733"/>
      <c r="AA11" s="734"/>
    </row>
    <row r="12" spans="1:27" s="45" customFormat="1" ht="30" customHeight="1">
      <c r="B12" s="41"/>
      <c r="C12" s="910" t="str">
        <f ca="1">IF(_GENERAL!D14&lt;&gt;"Administración Pública","No aplica a entidades clasificadas como Entidad no financiera","")</f>
        <v/>
      </c>
      <c r="E12" s="30"/>
      <c r="F12" s="30"/>
      <c r="G12" s="30"/>
      <c r="H12" s="30"/>
      <c r="I12" s="30"/>
      <c r="J12" s="30"/>
      <c r="K12" s="30"/>
      <c r="L12" s="44"/>
      <c r="N12" s="732"/>
      <c r="O12" s="733"/>
      <c r="P12" s="733"/>
      <c r="Q12" s="733"/>
      <c r="R12" s="733"/>
      <c r="S12" s="733"/>
      <c r="T12" s="733"/>
      <c r="U12" s="733"/>
      <c r="V12" s="733"/>
      <c r="W12" s="733"/>
      <c r="X12" s="733"/>
      <c r="Y12" s="733"/>
      <c r="Z12" s="733"/>
      <c r="AA12" s="734"/>
    </row>
    <row r="13" spans="1:27" s="48" customFormat="1" ht="22.95" customHeight="1">
      <c r="B13" s="46"/>
      <c r="C13" s="1203"/>
      <c r="D13" s="1204"/>
      <c r="E13" s="83" t="s">
        <v>960</v>
      </c>
      <c r="F13" s="1207" t="s">
        <v>501</v>
      </c>
      <c r="G13" s="1208"/>
      <c r="H13" s="1208"/>
      <c r="I13" s="1209"/>
      <c r="J13" s="83" t="s">
        <v>961</v>
      </c>
      <c r="K13" s="1205" t="s">
        <v>962</v>
      </c>
      <c r="L13" s="47"/>
      <c r="N13" s="732"/>
      <c r="O13" s="733"/>
      <c r="P13" s="733"/>
      <c r="Q13" s="733"/>
      <c r="R13" s="733"/>
      <c r="S13" s="733"/>
      <c r="T13" s="733"/>
      <c r="U13" s="733"/>
      <c r="V13" s="733"/>
      <c r="W13" s="733"/>
      <c r="X13" s="733"/>
      <c r="Y13" s="733"/>
      <c r="Z13" s="733"/>
      <c r="AA13" s="734"/>
    </row>
    <row r="14" spans="1:27" ht="49.2" customHeight="1">
      <c r="B14" s="37"/>
      <c r="C14" s="92" t="s">
        <v>963</v>
      </c>
      <c r="D14" s="90"/>
      <c r="E14" s="91">
        <f>ejercicio</f>
        <v>2025</v>
      </c>
      <c r="F14" s="87" t="s">
        <v>964</v>
      </c>
      <c r="G14" s="88" t="s">
        <v>965</v>
      </c>
      <c r="H14" s="88" t="s">
        <v>966</v>
      </c>
      <c r="I14" s="89" t="s">
        <v>967</v>
      </c>
      <c r="J14" s="91">
        <f>ejercicio</f>
        <v>2025</v>
      </c>
      <c r="K14" s="1206"/>
      <c r="L14" s="38"/>
      <c r="N14" s="732"/>
      <c r="O14" s="733"/>
      <c r="P14" s="733"/>
      <c r="Q14" s="733"/>
      <c r="R14" s="733"/>
      <c r="S14" s="733"/>
      <c r="T14" s="733"/>
      <c r="U14" s="733"/>
      <c r="V14" s="733"/>
      <c r="W14" s="733"/>
      <c r="X14" s="733"/>
      <c r="Y14" s="733"/>
      <c r="Z14" s="733"/>
      <c r="AA14" s="734"/>
    </row>
    <row r="15" spans="1:27" s="17" customFormat="1" ht="22.95" customHeight="1">
      <c r="B15" s="46"/>
      <c r="C15" s="631" t="s">
        <v>968</v>
      </c>
      <c r="D15" s="950"/>
      <c r="E15" s="185">
        <v>34726.519999999997</v>
      </c>
      <c r="F15" s="965"/>
      <c r="G15" s="966"/>
      <c r="H15" s="966"/>
      <c r="I15" s="967"/>
      <c r="J15" s="68">
        <f>SUM(E15:I15)</f>
        <v>34726.519999999997</v>
      </c>
      <c r="K15" s="1053"/>
      <c r="L15" s="47"/>
      <c r="N15" s="732"/>
      <c r="O15" s="733"/>
      <c r="P15" s="733"/>
      <c r="Q15" s="733"/>
      <c r="R15" s="733"/>
      <c r="S15" s="733"/>
      <c r="T15" s="733"/>
      <c r="U15" s="733"/>
      <c r="V15" s="733"/>
      <c r="W15" s="733"/>
      <c r="X15" s="733"/>
      <c r="Y15" s="733"/>
      <c r="Z15" s="733"/>
      <c r="AA15" s="734"/>
    </row>
    <row r="16" spans="1:27" ht="22.95" customHeight="1">
      <c r="B16" s="46"/>
      <c r="C16" s="632" t="s">
        <v>969</v>
      </c>
      <c r="D16" s="953"/>
      <c r="E16" s="186"/>
      <c r="F16" s="968"/>
      <c r="G16" s="663"/>
      <c r="H16" s="663"/>
      <c r="I16" s="969"/>
      <c r="J16" s="70">
        <f t="shared" ref="J16:J18" si="0">SUM(E16:I16)</f>
        <v>0</v>
      </c>
      <c r="K16" s="939"/>
      <c r="L16" s="38"/>
      <c r="N16" s="732"/>
      <c r="O16" s="733"/>
      <c r="P16" s="733"/>
      <c r="Q16" s="733"/>
      <c r="R16" s="733"/>
      <c r="S16" s="733"/>
      <c r="T16" s="733"/>
      <c r="U16" s="733"/>
      <c r="V16" s="733"/>
      <c r="W16" s="733"/>
      <c r="X16" s="733"/>
      <c r="Y16" s="733"/>
      <c r="Z16" s="733"/>
      <c r="AA16" s="734"/>
    </row>
    <row r="17" spans="2:27" ht="22.95" customHeight="1">
      <c r="B17" s="46"/>
      <c r="C17" s="632" t="s">
        <v>970</v>
      </c>
      <c r="D17" s="953"/>
      <c r="E17" s="186"/>
      <c r="F17" s="968"/>
      <c r="G17" s="663"/>
      <c r="H17" s="663"/>
      <c r="I17" s="969"/>
      <c r="J17" s="70">
        <f t="shared" si="0"/>
        <v>0</v>
      </c>
      <c r="K17" s="939"/>
      <c r="L17" s="38"/>
      <c r="N17" s="732"/>
      <c r="O17" s="733"/>
      <c r="P17" s="733"/>
      <c r="Q17" s="733"/>
      <c r="R17" s="733"/>
      <c r="S17" s="733"/>
      <c r="T17" s="733"/>
      <c r="U17" s="733"/>
      <c r="V17" s="733"/>
      <c r="W17" s="733"/>
      <c r="X17" s="733"/>
      <c r="Y17" s="733"/>
      <c r="Z17" s="733"/>
      <c r="AA17" s="734"/>
    </row>
    <row r="18" spans="2:27" ht="22.95" customHeight="1">
      <c r="B18" s="46"/>
      <c r="C18" s="608" t="s">
        <v>971</v>
      </c>
      <c r="D18" s="670"/>
      <c r="E18" s="187"/>
      <c r="F18" s="970"/>
      <c r="G18" s="971"/>
      <c r="H18" s="971"/>
      <c r="I18" s="972"/>
      <c r="J18" s="71">
        <f t="shared" si="0"/>
        <v>0</v>
      </c>
      <c r="K18" s="1054"/>
      <c r="L18" s="38"/>
      <c r="N18" s="732"/>
      <c r="O18" s="733"/>
      <c r="P18" s="733"/>
      <c r="Q18" s="733"/>
      <c r="R18" s="733"/>
      <c r="S18" s="733"/>
      <c r="T18" s="733"/>
      <c r="U18" s="733"/>
      <c r="V18" s="733"/>
      <c r="W18" s="733"/>
      <c r="X18" s="733"/>
      <c r="Y18" s="733"/>
      <c r="Z18" s="733"/>
      <c r="AA18" s="734"/>
    </row>
    <row r="19" spans="2:27" ht="22.95" customHeight="1" thickBot="1">
      <c r="B19" s="46"/>
      <c r="C19" s="61" t="s">
        <v>518</v>
      </c>
      <c r="D19" s="62"/>
      <c r="E19" s="69">
        <f>SUM(E15:E18)</f>
        <v>34726.519999999997</v>
      </c>
      <c r="F19" s="69">
        <f t="shared" ref="F19:J19" si="1">SUM(F15:F18)</f>
        <v>0</v>
      </c>
      <c r="G19" s="69">
        <f t="shared" si="1"/>
        <v>0</v>
      </c>
      <c r="H19" s="69">
        <f t="shared" si="1"/>
        <v>0</v>
      </c>
      <c r="I19" s="69">
        <f t="shared" si="1"/>
        <v>0</v>
      </c>
      <c r="J19" s="69">
        <f t="shared" si="1"/>
        <v>34726.519999999997</v>
      </c>
      <c r="K19" s="63"/>
      <c r="L19" s="38"/>
      <c r="N19" s="732"/>
      <c r="O19" s="733"/>
      <c r="P19" s="733"/>
      <c r="Q19" s="733"/>
      <c r="R19" s="733"/>
      <c r="S19" s="733"/>
      <c r="T19" s="733"/>
      <c r="U19" s="733"/>
      <c r="V19" s="733"/>
      <c r="W19" s="733"/>
      <c r="X19" s="733"/>
      <c r="Y19" s="733"/>
      <c r="Z19" s="733"/>
      <c r="AA19" s="734"/>
    </row>
    <row r="20" spans="2:27" ht="7.95" customHeight="1">
      <c r="B20" s="46"/>
      <c r="C20" s="57"/>
      <c r="D20" s="57"/>
      <c r="E20" s="58"/>
      <c r="F20" s="58"/>
      <c r="G20" s="58"/>
      <c r="H20" s="58"/>
      <c r="I20" s="58"/>
      <c r="J20" s="58"/>
      <c r="K20" s="58"/>
      <c r="L20" s="38"/>
      <c r="N20" s="732"/>
      <c r="O20" s="733"/>
      <c r="P20" s="733"/>
      <c r="Q20" s="733"/>
      <c r="R20" s="733"/>
      <c r="S20" s="733"/>
      <c r="T20" s="733"/>
      <c r="U20" s="733"/>
      <c r="V20" s="733"/>
      <c r="W20" s="733"/>
      <c r="X20" s="733"/>
      <c r="Y20" s="733"/>
      <c r="Z20" s="733"/>
      <c r="AA20" s="734"/>
    </row>
    <row r="21" spans="2:27" ht="22.95" customHeight="1">
      <c r="B21" s="46"/>
      <c r="C21" s="45"/>
      <c r="D21" s="45"/>
      <c r="E21" s="30"/>
      <c r="F21" s="30"/>
      <c r="G21" s="30"/>
      <c r="H21" s="30"/>
      <c r="I21" s="30"/>
      <c r="J21" s="30"/>
      <c r="K21" s="30"/>
      <c r="L21" s="38"/>
      <c r="N21" s="732"/>
      <c r="O21" s="733"/>
      <c r="P21" s="733"/>
      <c r="Q21" s="733"/>
      <c r="R21" s="733"/>
      <c r="S21" s="733"/>
      <c r="T21" s="733"/>
      <c r="U21" s="733"/>
      <c r="V21" s="733"/>
      <c r="W21" s="733"/>
      <c r="X21" s="733"/>
      <c r="Y21" s="733"/>
      <c r="Z21" s="733"/>
      <c r="AA21" s="734"/>
    </row>
    <row r="22" spans="2:27" ht="22.95" customHeight="1">
      <c r="B22" s="46"/>
      <c r="C22" s="1203"/>
      <c r="D22" s="1204"/>
      <c r="E22" s="83" t="s">
        <v>960</v>
      </c>
      <c r="F22" s="1207" t="s">
        <v>501</v>
      </c>
      <c r="G22" s="1208"/>
      <c r="H22" s="1208"/>
      <c r="I22" s="1209"/>
      <c r="J22" s="83" t="s">
        <v>961</v>
      </c>
      <c r="K22" s="1205" t="s">
        <v>962</v>
      </c>
      <c r="L22" s="38"/>
      <c r="N22" s="732"/>
      <c r="O22" s="733"/>
      <c r="P22" s="733"/>
      <c r="Q22" s="733"/>
      <c r="R22" s="733"/>
      <c r="S22" s="733"/>
      <c r="T22" s="733"/>
      <c r="U22" s="733"/>
      <c r="V22" s="733"/>
      <c r="W22" s="733"/>
      <c r="X22" s="733"/>
      <c r="Y22" s="733"/>
      <c r="Z22" s="733"/>
      <c r="AA22" s="734"/>
    </row>
    <row r="23" spans="2:27" ht="49.2" customHeight="1">
      <c r="B23" s="46"/>
      <c r="C23" s="92" t="s">
        <v>972</v>
      </c>
      <c r="D23" s="90"/>
      <c r="E23" s="91">
        <f>ejercicio</f>
        <v>2025</v>
      </c>
      <c r="F23" s="87" t="s">
        <v>964</v>
      </c>
      <c r="G23" s="88" t="s">
        <v>965</v>
      </c>
      <c r="H23" s="88" t="s">
        <v>966</v>
      </c>
      <c r="I23" s="89" t="s">
        <v>967</v>
      </c>
      <c r="J23" s="91">
        <f>ejercicio</f>
        <v>2025</v>
      </c>
      <c r="K23" s="1206"/>
      <c r="L23" s="38"/>
      <c r="N23" s="732"/>
      <c r="O23" s="733"/>
      <c r="P23" s="733"/>
      <c r="Q23" s="733"/>
      <c r="R23" s="733"/>
      <c r="S23" s="733"/>
      <c r="T23" s="733"/>
      <c r="U23" s="733"/>
      <c r="V23" s="733"/>
      <c r="W23" s="733"/>
      <c r="X23" s="733"/>
      <c r="Y23" s="733"/>
      <c r="Z23" s="733"/>
      <c r="AA23" s="734"/>
    </row>
    <row r="24" spans="2:27" ht="22.95" customHeight="1">
      <c r="B24" s="46"/>
      <c r="C24" s="631" t="s">
        <v>973</v>
      </c>
      <c r="D24" s="950"/>
      <c r="E24" s="185"/>
      <c r="F24" s="965"/>
      <c r="G24" s="966"/>
      <c r="H24" s="966"/>
      <c r="I24" s="967"/>
      <c r="J24" s="68">
        <f>SUM(E24:I24)</f>
        <v>0</v>
      </c>
      <c r="K24" s="1053"/>
      <c r="L24" s="38"/>
      <c r="N24" s="732"/>
      <c r="O24" s="733"/>
      <c r="P24" s="733"/>
      <c r="Q24" s="733"/>
      <c r="R24" s="733"/>
      <c r="S24" s="733"/>
      <c r="T24" s="733"/>
      <c r="U24" s="733"/>
      <c r="V24" s="733"/>
      <c r="W24" s="733"/>
      <c r="X24" s="733"/>
      <c r="Y24" s="733"/>
      <c r="Z24" s="733"/>
      <c r="AA24" s="734"/>
    </row>
    <row r="25" spans="2:27" ht="22.95" customHeight="1">
      <c r="B25" s="46"/>
      <c r="C25" s="632" t="s">
        <v>974</v>
      </c>
      <c r="D25" s="953"/>
      <c r="E25" s="186"/>
      <c r="F25" s="968"/>
      <c r="G25" s="663"/>
      <c r="H25" s="663"/>
      <c r="I25" s="969"/>
      <c r="J25" s="70">
        <f t="shared" ref="J25:J27" si="2">SUM(E25:I25)</f>
        <v>0</v>
      </c>
      <c r="K25" s="939"/>
      <c r="L25" s="38"/>
      <c r="N25" s="732"/>
      <c r="O25" s="733"/>
      <c r="P25" s="733"/>
      <c r="Q25" s="733"/>
      <c r="R25" s="733"/>
      <c r="S25" s="733"/>
      <c r="T25" s="733"/>
      <c r="U25" s="733"/>
      <c r="V25" s="733"/>
      <c r="W25" s="733"/>
      <c r="X25" s="733"/>
      <c r="Y25" s="733"/>
      <c r="Z25" s="733"/>
      <c r="AA25" s="734"/>
    </row>
    <row r="26" spans="2:27" ht="22.95" customHeight="1">
      <c r="B26" s="46"/>
      <c r="C26" s="632" t="s">
        <v>975</v>
      </c>
      <c r="D26" s="953"/>
      <c r="E26" s="186"/>
      <c r="F26" s="968"/>
      <c r="G26" s="663"/>
      <c r="H26" s="663"/>
      <c r="I26" s="969"/>
      <c r="J26" s="70">
        <f t="shared" si="2"/>
        <v>0</v>
      </c>
      <c r="K26" s="939"/>
      <c r="L26" s="38"/>
      <c r="N26" s="732"/>
      <c r="O26" s="733"/>
      <c r="P26" s="733"/>
      <c r="Q26" s="733"/>
      <c r="R26" s="733"/>
      <c r="S26" s="733"/>
      <c r="T26" s="733"/>
      <c r="U26" s="733"/>
      <c r="V26" s="733"/>
      <c r="W26" s="733"/>
      <c r="X26" s="733"/>
      <c r="Y26" s="733"/>
      <c r="Z26" s="733"/>
      <c r="AA26" s="734"/>
    </row>
    <row r="27" spans="2:27" ht="21" customHeight="1">
      <c r="B27" s="46"/>
      <c r="C27" s="608" t="s">
        <v>976</v>
      </c>
      <c r="D27" s="670"/>
      <c r="E27" s="187"/>
      <c r="F27" s="970"/>
      <c r="G27" s="971"/>
      <c r="H27" s="971"/>
      <c r="I27" s="972"/>
      <c r="J27" s="71">
        <f t="shared" si="2"/>
        <v>0</v>
      </c>
      <c r="K27" s="1054"/>
      <c r="L27" s="38"/>
      <c r="N27" s="732"/>
      <c r="O27" s="733"/>
      <c r="P27" s="733"/>
      <c r="Q27" s="733"/>
      <c r="R27" s="733"/>
      <c r="S27" s="733"/>
      <c r="T27" s="733"/>
      <c r="U27" s="733"/>
      <c r="V27" s="733"/>
      <c r="W27" s="733"/>
      <c r="X27" s="733"/>
      <c r="Y27" s="733"/>
      <c r="Z27" s="733"/>
      <c r="AA27" s="734"/>
    </row>
    <row r="28" spans="2:27" ht="22.95" customHeight="1" thickBot="1">
      <c r="B28" s="46"/>
      <c r="C28" s="61" t="s">
        <v>518</v>
      </c>
      <c r="D28" s="62"/>
      <c r="E28" s="69">
        <f>SUM(E24:E27)</f>
        <v>0</v>
      </c>
      <c r="F28" s="69">
        <f t="shared" ref="F28:J28" si="3">SUM(F24:F27)</f>
        <v>0</v>
      </c>
      <c r="G28" s="69">
        <f t="shared" si="3"/>
        <v>0</v>
      </c>
      <c r="H28" s="69">
        <f t="shared" si="3"/>
        <v>0</v>
      </c>
      <c r="I28" s="69">
        <f t="shared" si="3"/>
        <v>0</v>
      </c>
      <c r="J28" s="69">
        <f t="shared" si="3"/>
        <v>0</v>
      </c>
      <c r="K28" s="63"/>
      <c r="L28" s="38"/>
      <c r="N28" s="732"/>
      <c r="O28" s="733"/>
      <c r="P28" s="733"/>
      <c r="Q28" s="733"/>
      <c r="R28" s="733"/>
      <c r="S28" s="733"/>
      <c r="T28" s="733"/>
      <c r="U28" s="733"/>
      <c r="V28" s="733"/>
      <c r="W28" s="733"/>
      <c r="X28" s="733"/>
      <c r="Y28" s="733"/>
      <c r="Z28" s="733"/>
      <c r="AA28" s="734"/>
    </row>
    <row r="29" spans="2:27" ht="9" customHeight="1">
      <c r="B29" s="46"/>
      <c r="C29" s="57"/>
      <c r="D29" s="57"/>
      <c r="E29" s="58"/>
      <c r="F29" s="58"/>
      <c r="G29" s="58"/>
      <c r="H29" s="58"/>
      <c r="I29" s="58"/>
      <c r="J29" s="58"/>
      <c r="K29" s="58"/>
      <c r="L29" s="38"/>
      <c r="N29" s="732"/>
      <c r="O29" s="733"/>
      <c r="P29" s="733"/>
      <c r="Q29" s="733"/>
      <c r="R29" s="733"/>
      <c r="S29" s="733"/>
      <c r="T29" s="733"/>
      <c r="U29" s="733"/>
      <c r="V29" s="733"/>
      <c r="W29" s="733"/>
      <c r="X29" s="733"/>
      <c r="Y29" s="733"/>
      <c r="Z29" s="733"/>
      <c r="AA29" s="734"/>
    </row>
    <row r="30" spans="2:27" ht="22.95" customHeight="1">
      <c r="B30" s="46"/>
      <c r="C30" s="45"/>
      <c r="D30" s="45"/>
      <c r="E30" s="30"/>
      <c r="F30" s="30"/>
      <c r="G30" s="30"/>
      <c r="H30" s="30"/>
      <c r="I30" s="30"/>
      <c r="J30" s="30"/>
      <c r="K30" s="30"/>
      <c r="L30" s="38"/>
      <c r="N30" s="732"/>
      <c r="O30" s="733"/>
      <c r="P30" s="733"/>
      <c r="Q30" s="733"/>
      <c r="R30" s="733"/>
      <c r="S30" s="733"/>
      <c r="T30" s="733"/>
      <c r="U30" s="733"/>
      <c r="V30" s="733"/>
      <c r="W30" s="733"/>
      <c r="X30" s="733"/>
      <c r="Y30" s="733"/>
      <c r="Z30" s="733"/>
      <c r="AA30" s="734"/>
    </row>
    <row r="31" spans="2:27" ht="22.95" customHeight="1">
      <c r="B31" s="46"/>
      <c r="C31" s="240" t="s">
        <v>489</v>
      </c>
      <c r="D31" s="65"/>
      <c r="E31" s="66"/>
      <c r="F31" s="66"/>
      <c r="G31" s="66"/>
      <c r="H31" s="66"/>
      <c r="I31" s="66"/>
      <c r="J31" s="66"/>
      <c r="K31" s="30"/>
      <c r="L31" s="38"/>
      <c r="N31" s="732"/>
      <c r="O31" s="733"/>
      <c r="P31" s="733"/>
      <c r="Q31" s="733"/>
      <c r="R31" s="733"/>
      <c r="S31" s="733"/>
      <c r="T31" s="733"/>
      <c r="U31" s="733"/>
      <c r="V31" s="733"/>
      <c r="W31" s="733"/>
      <c r="X31" s="733"/>
      <c r="Y31" s="733"/>
      <c r="Z31" s="733"/>
      <c r="AA31" s="734"/>
    </row>
    <row r="32" spans="2:27" ht="17.399999999999999">
      <c r="B32" s="46"/>
      <c r="C32" s="317" t="s">
        <v>977</v>
      </c>
      <c r="D32" s="65"/>
      <c r="E32" s="66"/>
      <c r="F32" s="66"/>
      <c r="G32" s="66"/>
      <c r="H32" s="66"/>
      <c r="I32" s="66"/>
      <c r="J32" s="66"/>
      <c r="K32" s="30"/>
      <c r="L32" s="38"/>
      <c r="N32" s="718"/>
      <c r="O32" s="719"/>
      <c r="P32" s="719"/>
      <c r="Q32" s="719"/>
      <c r="R32" s="719"/>
      <c r="S32" s="719"/>
      <c r="T32" s="719"/>
      <c r="U32" s="719"/>
      <c r="V32" s="719"/>
      <c r="W32" s="719"/>
      <c r="X32" s="719"/>
      <c r="Y32" s="719"/>
      <c r="Z32" s="719"/>
      <c r="AA32" s="720"/>
    </row>
    <row r="33" spans="2:27" ht="17.399999999999999">
      <c r="B33" s="46"/>
      <c r="C33" s="109" t="s">
        <v>978</v>
      </c>
      <c r="D33" s="65"/>
      <c r="E33" s="66"/>
      <c r="F33" s="66"/>
      <c r="G33" s="66"/>
      <c r="H33" s="66"/>
      <c r="I33" s="66"/>
      <c r="J33" s="66"/>
      <c r="K33" s="30"/>
      <c r="L33" s="38"/>
      <c r="N33" s="718"/>
      <c r="O33" s="719"/>
      <c r="P33" s="719"/>
      <c r="Q33" s="719"/>
      <c r="R33" s="719"/>
      <c r="S33" s="719"/>
      <c r="T33" s="719"/>
      <c r="U33" s="719"/>
      <c r="V33" s="719"/>
      <c r="W33" s="719"/>
      <c r="X33" s="719"/>
      <c r="Y33" s="719"/>
      <c r="Z33" s="719"/>
      <c r="AA33" s="720"/>
    </row>
    <row r="34" spans="2:27" ht="22.95" customHeight="1" thickBot="1">
      <c r="B34" s="49"/>
      <c r="C34" s="1154"/>
      <c r="D34" s="1154"/>
      <c r="E34" s="1154"/>
      <c r="F34" s="1154"/>
      <c r="G34" s="25"/>
      <c r="H34" s="25"/>
      <c r="I34" s="25"/>
      <c r="J34" s="25"/>
      <c r="K34" s="50"/>
      <c r="L34" s="51"/>
      <c r="N34" s="727"/>
      <c r="O34" s="728"/>
      <c r="P34" s="728"/>
      <c r="Q34" s="728"/>
      <c r="R34" s="728"/>
      <c r="S34" s="728"/>
      <c r="T34" s="728"/>
      <c r="U34" s="728"/>
      <c r="V34" s="728"/>
      <c r="W34" s="728"/>
      <c r="X34" s="728"/>
      <c r="Y34" s="728"/>
      <c r="Z34" s="728"/>
      <c r="AA34" s="729"/>
    </row>
    <row r="35" spans="2:27" ht="22.95" customHeight="1">
      <c r="M35" s="31" t="s">
        <v>179</v>
      </c>
    </row>
    <row r="36" spans="2:27" ht="13.2">
      <c r="C36" s="52" t="s">
        <v>52</v>
      </c>
      <c r="K36" s="29" t="s">
        <v>979</v>
      </c>
    </row>
    <row r="37" spans="2:27" ht="13.2">
      <c r="C37" s="52" t="s">
        <v>54</v>
      </c>
    </row>
    <row r="38" spans="2:27" ht="13.2">
      <c r="C38" s="52" t="s">
        <v>55</v>
      </c>
    </row>
    <row r="39" spans="2:27" ht="13.2">
      <c r="C39" s="52" t="s">
        <v>56</v>
      </c>
    </row>
    <row r="40" spans="2:27" ht="13.2">
      <c r="C40" s="52" t="s">
        <v>57</v>
      </c>
    </row>
  </sheetData>
  <sheetProtection algorithmName="SHA-512" hashValue="eCK1M7ykwbcwqVJ/w5/VuH+7TFo8hvqOmO24XDq51zd4EwWbDE1M3JBiVn3m8XQVRaDQN8qQq8T7Ats4C8OTew==" saltValue="5u3Xt4lJaxEZAB8aCunWzA==" spinCount="100000" sheet="1" objects="1" scenarios="1"/>
  <mergeCells count="9">
    <mergeCell ref="C34:F34"/>
    <mergeCell ref="K6:K7"/>
    <mergeCell ref="D9:K9"/>
    <mergeCell ref="C13:D13"/>
    <mergeCell ref="F13:I13"/>
    <mergeCell ref="K13:K14"/>
    <mergeCell ref="C22:D22"/>
    <mergeCell ref="F22:I22"/>
    <mergeCell ref="K22:K23"/>
  </mergeCells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1">
    <pageSetUpPr fitToPage="1"/>
  </sheetPr>
  <dimension ref="A2:V48"/>
  <sheetViews>
    <sheetView topLeftCell="A22" zoomScale="85" zoomScaleNormal="85" workbookViewId="0">
      <selection activeCell="E21" sqref="E21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1796875" style="31" customWidth="1"/>
    <col min="4" max="4" width="68" style="31" customWidth="1"/>
    <col min="5" max="5" width="15.1796875" style="32" customWidth="1"/>
    <col min="6" max="6" width="12.1796875" style="32" customWidth="1"/>
    <col min="7" max="7" width="3.453125" style="31" customWidth="1"/>
    <col min="8" max="16384" width="10.54296875" style="31"/>
  </cols>
  <sheetData>
    <row r="2" spans="1:22" ht="22.95" customHeight="1">
      <c r="D2" s="318" t="str">
        <f>_GENERAL!D2</f>
        <v>Área de la Presidenta: Igualdad y Diversidad, Hacienda y Proyectos Estratégicos</v>
      </c>
    </row>
    <row r="3" spans="1:22" ht="22.95" customHeight="1">
      <c r="D3" s="318" t="str">
        <f>_GENERAL!D3</f>
        <v>Dirección Insular de Hacienda</v>
      </c>
    </row>
    <row r="4" spans="1:22" ht="22.95" customHeight="1" thickBot="1">
      <c r="A4" s="31" t="s">
        <v>129</v>
      </c>
    </row>
    <row r="5" spans="1:22" ht="9" customHeight="1">
      <c r="B5" s="33"/>
      <c r="C5" s="34"/>
      <c r="D5" s="34"/>
      <c r="E5" s="35"/>
      <c r="F5" s="35"/>
      <c r="G5" s="36"/>
      <c r="I5" s="700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2"/>
    </row>
    <row r="6" spans="1:22" ht="30" customHeight="1">
      <c r="B6" s="37"/>
      <c r="C6" s="28" t="s">
        <v>2</v>
      </c>
      <c r="F6" s="1138">
        <f>ejercicio</f>
        <v>2025</v>
      </c>
      <c r="G6" s="38"/>
      <c r="I6" s="170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2"/>
    </row>
    <row r="7" spans="1:22" ht="30" customHeight="1">
      <c r="B7" s="37"/>
      <c r="C7" s="28" t="s">
        <v>3</v>
      </c>
      <c r="F7" s="1138"/>
      <c r="G7" s="38"/>
      <c r="I7" s="170"/>
      <c r="J7" s="164" t="s">
        <v>130</v>
      </c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2"/>
    </row>
    <row r="8" spans="1:22" ht="30" customHeight="1">
      <c r="B8" s="37"/>
      <c r="C8" s="39"/>
      <c r="F8" s="40"/>
      <c r="G8" s="38"/>
      <c r="I8" s="736"/>
      <c r="J8" s="707"/>
      <c r="K8" s="707"/>
      <c r="L8" s="707"/>
      <c r="M8" s="707"/>
      <c r="N8" s="707"/>
      <c r="O8" s="707"/>
      <c r="P8" s="707"/>
      <c r="Q8" s="707"/>
      <c r="R8" s="707"/>
      <c r="S8" s="707"/>
      <c r="T8" s="707"/>
      <c r="U8" s="707"/>
      <c r="V8" s="737"/>
    </row>
    <row r="9" spans="1:22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825"/>
      <c r="H9" s="892"/>
      <c r="I9" s="736"/>
      <c r="J9" s="707"/>
      <c r="K9" s="707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37"/>
    </row>
    <row r="10" spans="1:22" ht="7.2" customHeight="1">
      <c r="B10" s="37"/>
      <c r="G10" s="38"/>
      <c r="I10" s="736"/>
      <c r="J10" s="707"/>
      <c r="K10" s="707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37"/>
    </row>
    <row r="11" spans="1:22" s="45" customFormat="1" ht="30" customHeight="1">
      <c r="B11" s="41"/>
      <c r="C11" s="42" t="s">
        <v>980</v>
      </c>
      <c r="D11" s="42"/>
      <c r="E11" s="43"/>
      <c r="F11" s="43"/>
      <c r="G11" s="44"/>
      <c r="I11" s="736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37"/>
    </row>
    <row r="12" spans="1:22" s="45" customFormat="1" ht="30" customHeight="1">
      <c r="B12" s="41"/>
      <c r="C12" s="1184"/>
      <c r="D12" s="1184"/>
      <c r="E12" s="30"/>
      <c r="F12" s="30"/>
      <c r="G12" s="44"/>
      <c r="I12" s="736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37"/>
    </row>
    <row r="13" spans="1:22" ht="9" customHeight="1">
      <c r="B13" s="46"/>
      <c r="C13" s="571"/>
      <c r="D13" s="571"/>
      <c r="E13" s="30"/>
      <c r="F13" s="30"/>
      <c r="G13" s="38"/>
      <c r="I13" s="736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37"/>
    </row>
    <row r="14" spans="1:22" s="95" customFormat="1" ht="43.95" customHeight="1">
      <c r="A14" s="599"/>
      <c r="B14" s="805"/>
      <c r="C14" s="1207" t="s">
        <v>742</v>
      </c>
      <c r="D14" s="1209"/>
      <c r="E14" s="676" t="s">
        <v>981</v>
      </c>
      <c r="F14" s="139" t="s">
        <v>982</v>
      </c>
      <c r="G14" s="806"/>
      <c r="H14" s="599"/>
      <c r="I14" s="736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37"/>
    </row>
    <row r="15" spans="1:22" ht="9" customHeight="1">
      <c r="B15" s="46"/>
      <c r="C15" s="27"/>
      <c r="D15" s="571"/>
      <c r="E15" s="30"/>
      <c r="F15" s="120"/>
      <c r="G15" s="38"/>
      <c r="I15" s="736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37"/>
    </row>
    <row r="16" spans="1:22" s="28" customFormat="1" ht="22.95" customHeight="1">
      <c r="B16" s="141"/>
      <c r="C16" s="1321" t="s">
        <v>983</v>
      </c>
      <c r="D16" s="1322"/>
      <c r="E16" s="143">
        <f>SUM(E17:E19)</f>
        <v>9616.1999999999534</v>
      </c>
      <c r="F16" s="145">
        <f>IFERROR(E16/$E$38,"")</f>
        <v>1.2608882602585969E-2</v>
      </c>
      <c r="G16" s="142"/>
      <c r="I16" s="736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37"/>
    </row>
    <row r="17" spans="1:22" s="77" customFormat="1" ht="22.95" customHeight="1">
      <c r="A17" s="892"/>
      <c r="B17" s="824"/>
      <c r="C17" s="1055" t="s">
        <v>984</v>
      </c>
      <c r="D17" s="682" t="s">
        <v>985</v>
      </c>
      <c r="E17" s="1051">
        <f>+'FC-3_1_INF_ADIC_CPyG'!E16+'FC-3_1_INF_ADIC_CPyG'!E20-'FC-3_1_INF_ADIC_CPyG'!E19-'FC-3_1_INF_ADIC_CPyG'!E31</f>
        <v>9616.1999999999534</v>
      </c>
      <c r="F17" s="1056">
        <f t="shared" ref="F17:F38" si="0">IFERROR(E17/$E$38,"")</f>
        <v>1.2608882602585969E-2</v>
      </c>
      <c r="G17" s="825"/>
      <c r="H17" s="892"/>
      <c r="I17" s="736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37"/>
    </row>
    <row r="18" spans="1:22" s="77" customFormat="1" ht="22.95" customHeight="1">
      <c r="A18" s="892"/>
      <c r="B18" s="824"/>
      <c r="C18" s="1055" t="s">
        <v>986</v>
      </c>
      <c r="D18" s="682" t="s">
        <v>987</v>
      </c>
      <c r="E18" s="1051">
        <f>+'FC-3_1_INF_ADIC_CPyG'!E33-'FC-3_1_INF_ADIC_CPyG'!E42</f>
        <v>0</v>
      </c>
      <c r="F18" s="1057">
        <f t="shared" si="0"/>
        <v>0</v>
      </c>
      <c r="G18" s="825"/>
      <c r="H18" s="892"/>
      <c r="I18" s="736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37"/>
    </row>
    <row r="19" spans="1:22" s="77" customFormat="1" ht="22.95" customHeight="1">
      <c r="A19" s="892"/>
      <c r="B19" s="824"/>
      <c r="C19" s="1058" t="s">
        <v>988</v>
      </c>
      <c r="D19" s="1033" t="s">
        <v>989</v>
      </c>
      <c r="E19" s="930"/>
      <c r="F19" s="1059">
        <f t="shared" si="0"/>
        <v>0</v>
      </c>
      <c r="G19" s="825"/>
      <c r="H19" s="892"/>
      <c r="I19" s="742" t="s">
        <v>908</v>
      </c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37"/>
    </row>
    <row r="20" spans="1:22" s="77" customFormat="1" ht="9" customHeight="1">
      <c r="A20" s="892"/>
      <c r="B20" s="824"/>
      <c r="C20" s="8"/>
      <c r="D20" s="571"/>
      <c r="E20" s="56"/>
      <c r="F20" s="146"/>
      <c r="G20" s="825"/>
      <c r="H20" s="892"/>
      <c r="I20" s="736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37"/>
    </row>
    <row r="21" spans="1:22" s="77" customFormat="1" ht="22.95" customHeight="1">
      <c r="A21" s="892"/>
      <c r="B21" s="824"/>
      <c r="C21" s="1321" t="s">
        <v>990</v>
      </c>
      <c r="D21" s="1322"/>
      <c r="E21" s="143">
        <f>+'FC-3_1_INF_ADIC_CPyG'!E43</f>
        <v>515732.63</v>
      </c>
      <c r="F21" s="147">
        <f t="shared" si="0"/>
        <v>0.67623512260486862</v>
      </c>
      <c r="G21" s="825"/>
      <c r="H21" s="892"/>
      <c r="I21" s="736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37"/>
    </row>
    <row r="22" spans="1:22" s="77" customFormat="1" ht="9" customHeight="1">
      <c r="A22" s="892"/>
      <c r="B22" s="824"/>
      <c r="C22" s="8"/>
      <c r="D22" s="571"/>
      <c r="E22" s="56"/>
      <c r="F22" s="146"/>
      <c r="G22" s="825"/>
      <c r="H22" s="892"/>
      <c r="I22" s="736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37"/>
    </row>
    <row r="23" spans="1:22" s="28" customFormat="1" ht="22.95" customHeight="1">
      <c r="B23" s="141"/>
      <c r="C23" s="1321" t="s">
        <v>991</v>
      </c>
      <c r="D23" s="1322"/>
      <c r="E23" s="143">
        <f>E24+E28</f>
        <v>184600</v>
      </c>
      <c r="F23" s="147">
        <f t="shared" si="0"/>
        <v>0.2420498459305527</v>
      </c>
      <c r="G23" s="142"/>
      <c r="I23" s="736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37"/>
    </row>
    <row r="24" spans="1:22" s="28" customFormat="1" ht="22.95" customHeight="1">
      <c r="B24" s="141"/>
      <c r="C24" s="680" t="s">
        <v>992</v>
      </c>
      <c r="D24" s="681"/>
      <c r="E24" s="75">
        <f>SUM(E25:E27)</f>
        <v>184600</v>
      </c>
      <c r="F24" s="147">
        <f t="shared" si="0"/>
        <v>0.2420498459305527</v>
      </c>
      <c r="G24" s="142"/>
      <c r="I24" s="736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37"/>
    </row>
    <row r="25" spans="1:22" s="77" customFormat="1" ht="22.95" customHeight="1">
      <c r="A25" s="892"/>
      <c r="B25" s="824"/>
      <c r="C25" s="1055" t="s">
        <v>984</v>
      </c>
      <c r="D25" s="682" t="s">
        <v>993</v>
      </c>
      <c r="E25" s="1051">
        <f>'FC-9_TRANS_SUBV'!J74+'FC-9_TRANS_SUBV'!J75</f>
        <v>184600</v>
      </c>
      <c r="F25" s="1056">
        <f t="shared" si="0"/>
        <v>0.2420498459305527</v>
      </c>
      <c r="G25" s="825"/>
      <c r="H25" s="892"/>
      <c r="I25" s="736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37"/>
    </row>
    <row r="26" spans="1:22" s="77" customFormat="1" ht="22.95" customHeight="1">
      <c r="A26" s="892"/>
      <c r="B26" s="824"/>
      <c r="C26" s="1055" t="s">
        <v>986</v>
      </c>
      <c r="D26" s="682" t="s">
        <v>994</v>
      </c>
      <c r="E26" s="1051">
        <f>'FC-9_TRANS_SUBV'!J77-'FC-3_1_INF_ADIC_CPyG'!E46</f>
        <v>0</v>
      </c>
      <c r="F26" s="1057">
        <f t="shared" si="0"/>
        <v>0</v>
      </c>
      <c r="G26" s="825"/>
      <c r="H26" s="892"/>
      <c r="I26" s="736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37"/>
    </row>
    <row r="27" spans="1:22" s="77" customFormat="1" ht="22.95" customHeight="1">
      <c r="A27" s="892"/>
      <c r="B27" s="824"/>
      <c r="C27" s="1058" t="s">
        <v>988</v>
      </c>
      <c r="D27" s="1033" t="s">
        <v>995</v>
      </c>
      <c r="E27" s="1052">
        <f>'FC-9_TRANS_SUBV'!J76</f>
        <v>0</v>
      </c>
      <c r="F27" s="1059">
        <f t="shared" si="0"/>
        <v>0</v>
      </c>
      <c r="G27" s="825"/>
      <c r="H27" s="892"/>
      <c r="I27" s="736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37"/>
    </row>
    <row r="28" spans="1:22" s="77" customFormat="1" ht="22.95" customHeight="1">
      <c r="A28" s="892"/>
      <c r="B28" s="824"/>
      <c r="C28" s="680" t="s">
        <v>996</v>
      </c>
      <c r="D28" s="681"/>
      <c r="E28" s="75">
        <f>SUM(E29:E31)</f>
        <v>0</v>
      </c>
      <c r="F28" s="147">
        <f t="shared" si="0"/>
        <v>0</v>
      </c>
      <c r="G28" s="825"/>
      <c r="H28" s="892"/>
      <c r="I28" s="736" t="str">
        <f>IF(E28='FC-9_TRANS_SUBV'!N41,"","Ojo! El importe total de las subvenciones de capital concedidas no coincide con el indicado en FC-9")</f>
        <v/>
      </c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37"/>
    </row>
    <row r="29" spans="1:22" s="77" customFormat="1" ht="22.95" customHeight="1">
      <c r="A29" s="892"/>
      <c r="B29" s="824"/>
      <c r="C29" s="683" t="s">
        <v>984</v>
      </c>
      <c r="D29" s="684" t="s">
        <v>993</v>
      </c>
      <c r="E29" s="678">
        <f>'FC-9_TRANS_SUBV'!N45+'FC-9_TRANS_SUBV'!N46</f>
        <v>0</v>
      </c>
      <c r="F29" s="672">
        <f t="shared" si="0"/>
        <v>0</v>
      </c>
      <c r="G29" s="825"/>
      <c r="H29" s="892"/>
      <c r="I29" s="742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37"/>
    </row>
    <row r="30" spans="1:22" s="77" customFormat="1" ht="22.95" customHeight="1">
      <c r="A30" s="892"/>
      <c r="B30" s="824"/>
      <c r="C30" s="683" t="s">
        <v>986</v>
      </c>
      <c r="D30" s="684" t="s">
        <v>994</v>
      </c>
      <c r="E30" s="678">
        <f>'FC-9_TRANS_SUBV'!N48</f>
        <v>0</v>
      </c>
      <c r="F30" s="673">
        <f t="shared" si="0"/>
        <v>0</v>
      </c>
      <c r="G30" s="825"/>
      <c r="H30" s="892"/>
      <c r="I30" s="742"/>
      <c r="J30" s="707"/>
      <c r="K30" s="707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37"/>
    </row>
    <row r="31" spans="1:22" s="77" customFormat="1" ht="22.95" customHeight="1">
      <c r="A31" s="892"/>
      <c r="B31" s="824"/>
      <c r="C31" s="685" t="s">
        <v>988</v>
      </c>
      <c r="D31" s="686" t="s">
        <v>995</v>
      </c>
      <c r="E31" s="679">
        <f>'FC-9_TRANS_SUBV'!N47</f>
        <v>0</v>
      </c>
      <c r="F31" s="674">
        <f t="shared" si="0"/>
        <v>0</v>
      </c>
      <c r="G31" s="825"/>
      <c r="H31" s="892"/>
      <c r="I31" s="742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37"/>
    </row>
    <row r="32" spans="1:22" s="77" customFormat="1" ht="9" customHeight="1">
      <c r="A32" s="892"/>
      <c r="B32" s="824"/>
      <c r="C32" s="8"/>
      <c r="D32" s="571"/>
      <c r="E32" s="56"/>
      <c r="F32" s="146"/>
      <c r="G32" s="825"/>
      <c r="H32" s="892"/>
      <c r="I32" s="736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37"/>
    </row>
    <row r="33" spans="1:22" s="28" customFormat="1" ht="22.95" customHeight="1">
      <c r="B33" s="141"/>
      <c r="C33" s="1321" t="s">
        <v>997</v>
      </c>
      <c r="D33" s="1322"/>
      <c r="E33" s="143">
        <f>SUM(E34:E36)</f>
        <v>52704</v>
      </c>
      <c r="F33" s="147">
        <f t="shared" si="0"/>
        <v>6.9106148861992692E-2</v>
      </c>
      <c r="G33" s="142"/>
      <c r="I33" s="736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37"/>
    </row>
    <row r="34" spans="1:22" s="77" customFormat="1" ht="22.95" customHeight="1">
      <c r="A34" s="892"/>
      <c r="B34" s="824"/>
      <c r="C34" s="1055" t="s">
        <v>984</v>
      </c>
      <c r="D34" s="682" t="s">
        <v>998</v>
      </c>
      <c r="E34" s="621">
        <v>52704</v>
      </c>
      <c r="F34" s="1056">
        <f t="shared" si="0"/>
        <v>6.9106148861992692E-2</v>
      </c>
      <c r="G34" s="825"/>
      <c r="H34" s="892"/>
      <c r="I34" s="742" t="s">
        <v>908</v>
      </c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37"/>
    </row>
    <row r="35" spans="1:22" s="77" customFormat="1" ht="22.95" customHeight="1">
      <c r="A35" s="892"/>
      <c r="B35" s="824"/>
      <c r="C35" s="1055" t="s">
        <v>986</v>
      </c>
      <c r="D35" s="682" t="s">
        <v>999</v>
      </c>
      <c r="E35" s="621"/>
      <c r="F35" s="1057">
        <f t="shared" si="0"/>
        <v>0</v>
      </c>
      <c r="G35" s="825"/>
      <c r="H35" s="892"/>
      <c r="I35" s="742" t="s">
        <v>908</v>
      </c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37"/>
    </row>
    <row r="36" spans="1:22" s="77" customFormat="1" ht="22.95" customHeight="1">
      <c r="A36" s="892"/>
      <c r="B36" s="824"/>
      <c r="C36" s="1058" t="s">
        <v>988</v>
      </c>
      <c r="D36" s="993"/>
      <c r="E36" s="930"/>
      <c r="F36" s="1059">
        <f t="shared" si="0"/>
        <v>0</v>
      </c>
      <c r="G36" s="825"/>
      <c r="H36" s="892"/>
      <c r="I36" s="742" t="s">
        <v>908</v>
      </c>
      <c r="J36" s="707"/>
      <c r="K36" s="707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37"/>
    </row>
    <row r="37" spans="1:22" s="77" customFormat="1" ht="22.95" customHeight="1">
      <c r="A37" s="892"/>
      <c r="B37" s="824"/>
      <c r="C37" s="571"/>
      <c r="D37" s="599"/>
      <c r="E37" s="425"/>
      <c r="F37" s="360"/>
      <c r="G37" s="825"/>
      <c r="H37" s="892"/>
      <c r="I37" s="736"/>
      <c r="J37" s="707"/>
      <c r="K37" s="707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37"/>
    </row>
    <row r="38" spans="1:22" s="77" customFormat="1" ht="22.95" customHeight="1" thickBot="1">
      <c r="A38" s="892"/>
      <c r="B38" s="824"/>
      <c r="C38" s="1323" t="s">
        <v>1000</v>
      </c>
      <c r="D38" s="1324"/>
      <c r="E38" s="612">
        <f>E33+E23+E21+E16</f>
        <v>762652.83</v>
      </c>
      <c r="F38" s="144">
        <f t="shared" si="0"/>
        <v>1</v>
      </c>
      <c r="G38" s="825"/>
      <c r="H38" s="892"/>
      <c r="I38" s="736"/>
      <c r="J38" s="707"/>
      <c r="K38" s="707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37"/>
    </row>
    <row r="39" spans="1:22" ht="22.95" customHeight="1">
      <c r="B39" s="46"/>
      <c r="C39" s="571"/>
      <c r="D39" s="599"/>
      <c r="E39" s="425"/>
      <c r="F39" s="359"/>
      <c r="G39" s="38"/>
      <c r="I39" s="736"/>
      <c r="J39" s="707"/>
      <c r="K39" s="707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37"/>
    </row>
    <row r="40" spans="1:22" ht="22.95" customHeight="1">
      <c r="B40" s="46"/>
      <c r="C40" s="215" t="s">
        <v>617</v>
      </c>
      <c r="D40" s="599"/>
      <c r="E40" s="425"/>
      <c r="F40" s="359"/>
      <c r="G40" s="38"/>
      <c r="I40" s="736"/>
      <c r="J40" s="707"/>
      <c r="K40" s="707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37"/>
    </row>
    <row r="41" spans="1:22" ht="72" customHeight="1">
      <c r="B41" s="46"/>
      <c r="C41" s="1325" t="s">
        <v>1001</v>
      </c>
      <c r="D41" s="1325"/>
      <c r="E41" s="1325"/>
      <c r="F41" s="1325"/>
      <c r="G41" s="38"/>
      <c r="I41" s="736"/>
      <c r="J41" s="707"/>
      <c r="K41" s="707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37"/>
    </row>
    <row r="42" spans="1:22" ht="22.95" customHeight="1" thickBot="1">
      <c r="B42" s="49"/>
      <c r="C42" s="1154"/>
      <c r="D42" s="1154"/>
      <c r="E42" s="25"/>
      <c r="F42" s="50"/>
      <c r="G42" s="51"/>
      <c r="I42" s="738"/>
      <c r="J42" s="739"/>
      <c r="K42" s="739"/>
      <c r="L42" s="739"/>
      <c r="M42" s="739"/>
      <c r="N42" s="739"/>
      <c r="O42" s="739"/>
      <c r="P42" s="739"/>
      <c r="Q42" s="739"/>
      <c r="R42" s="739"/>
      <c r="S42" s="739"/>
      <c r="T42" s="739"/>
      <c r="U42" s="739"/>
      <c r="V42" s="740"/>
    </row>
    <row r="43" spans="1:22" ht="22.95" customHeight="1">
      <c r="H43" s="31" t="s">
        <v>179</v>
      </c>
    </row>
    <row r="44" spans="1:22" ht="13.2">
      <c r="C44" s="52" t="s">
        <v>52</v>
      </c>
      <c r="F44" s="29" t="s">
        <v>1002</v>
      </c>
    </row>
    <row r="45" spans="1:22" ht="13.2">
      <c r="C45" s="52" t="s">
        <v>54</v>
      </c>
    </row>
    <row r="46" spans="1:22" ht="13.2">
      <c r="C46" s="52" t="s">
        <v>55</v>
      </c>
    </row>
    <row r="47" spans="1:22" ht="13.2">
      <c r="C47" s="52" t="s">
        <v>56</v>
      </c>
    </row>
    <row r="48" spans="1:22" ht="13.2">
      <c r="C48" s="52" t="s">
        <v>57</v>
      </c>
    </row>
  </sheetData>
  <sheetProtection algorithmName="SHA-512" hashValue="KFYU1B1DmQvvbz2lwmu06CD8UqbU1AqlXGM6QKsFJ5wny4tKuRJuKaeF6qvlRv1feY2W2TvCcRuwAvCR/YuNjg==" saltValue="Dt2jNSCguDBBrPKaX8S13g==" spinCount="100000" sheet="1" objects="1" scenarios="1"/>
  <mergeCells count="11">
    <mergeCell ref="C42:D42"/>
    <mergeCell ref="C23:D23"/>
    <mergeCell ref="C33:D33"/>
    <mergeCell ref="C38:D38"/>
    <mergeCell ref="C21:D21"/>
    <mergeCell ref="C41:F41"/>
    <mergeCell ref="F6:F7"/>
    <mergeCell ref="D9:F9"/>
    <mergeCell ref="C12:D12"/>
    <mergeCell ref="C14:D14"/>
    <mergeCell ref="C16:D16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7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2">
    <tabColor rgb="FFFF0000"/>
    <pageSetUpPr fitToPage="1"/>
  </sheetPr>
  <dimension ref="A2:X71"/>
  <sheetViews>
    <sheetView zoomScaleNormal="100" workbookViewId="0">
      <selection activeCell="E64" sqref="E64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1796875" style="31" customWidth="1"/>
    <col min="4" max="4" width="68" style="31" customWidth="1"/>
    <col min="5" max="5" width="16.54296875" style="32" customWidth="1"/>
    <col min="6" max="6" width="3.453125" style="31" customWidth="1"/>
    <col min="7" max="16384" width="10.54296875" style="31"/>
  </cols>
  <sheetData>
    <row r="2" spans="1:24" ht="22.95" customHeight="1">
      <c r="D2" s="318" t="str">
        <f>_GENERAL!D2</f>
        <v>Área de la Presidenta: Igualdad y Diversidad, Hacienda y Proyectos Estratégicos</v>
      </c>
    </row>
    <row r="3" spans="1:24" ht="22.95" customHeight="1">
      <c r="D3" s="318" t="str">
        <f>_GENERAL!D3</f>
        <v>Dirección Insular de Hacienda</v>
      </c>
    </row>
    <row r="4" spans="1:24" ht="22.95" customHeight="1" thickBot="1">
      <c r="A4" s="31" t="s">
        <v>129</v>
      </c>
    </row>
    <row r="5" spans="1:24" ht="9" customHeight="1">
      <c r="B5" s="33"/>
      <c r="C5" s="34"/>
      <c r="D5" s="34"/>
      <c r="E5" s="35"/>
      <c r="F5" s="36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4" ht="30" customHeight="1">
      <c r="B6" s="37"/>
      <c r="C6" s="28" t="s">
        <v>2</v>
      </c>
      <c r="E6" s="1138">
        <f>ejercicio</f>
        <v>2025</v>
      </c>
      <c r="F6" s="38"/>
    </row>
    <row r="7" spans="1:24" ht="30" customHeight="1">
      <c r="B7" s="37"/>
      <c r="C7" s="28" t="s">
        <v>3</v>
      </c>
      <c r="E7" s="1138"/>
      <c r="F7" s="38"/>
      <c r="H7" s="599"/>
      <c r="I7" s="599"/>
      <c r="J7" s="599"/>
      <c r="K7" s="599"/>
      <c r="L7" s="599"/>
      <c r="M7" s="599"/>
      <c r="N7" s="599"/>
      <c r="O7" s="599"/>
      <c r="P7" s="599"/>
      <c r="Q7" s="599"/>
      <c r="R7" s="599"/>
      <c r="S7" s="599"/>
      <c r="T7" s="599"/>
      <c r="U7" s="599"/>
      <c r="V7" s="599"/>
      <c r="W7" s="599"/>
      <c r="X7" s="599"/>
    </row>
    <row r="8" spans="1:24" ht="30" customHeight="1">
      <c r="B8" s="37"/>
      <c r="C8" s="39"/>
      <c r="E8" s="40"/>
      <c r="F8" s="38"/>
    </row>
    <row r="9" spans="1:24" s="77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825"/>
      <c r="G9" s="892"/>
      <c r="H9" s="892"/>
      <c r="I9" s="892"/>
      <c r="J9" s="892"/>
      <c r="K9" s="892"/>
      <c r="L9" s="892"/>
      <c r="M9" s="892"/>
      <c r="N9" s="892"/>
      <c r="O9" s="892"/>
      <c r="P9" s="892"/>
      <c r="Q9" s="892"/>
      <c r="R9" s="892"/>
      <c r="S9" s="892"/>
      <c r="T9" s="892"/>
      <c r="U9" s="892"/>
      <c r="V9" s="892"/>
      <c r="W9" s="892"/>
      <c r="X9" s="892"/>
    </row>
    <row r="10" spans="1:24" ht="7.2" customHeight="1">
      <c r="B10" s="37"/>
      <c r="F10" s="38"/>
      <c r="H10" s="892"/>
      <c r="I10" s="892"/>
      <c r="J10" s="892"/>
      <c r="K10" s="892"/>
      <c r="L10" s="892"/>
      <c r="M10" s="892"/>
      <c r="N10" s="892"/>
      <c r="O10" s="892"/>
      <c r="P10" s="892"/>
      <c r="Q10" s="892"/>
      <c r="R10" s="892"/>
      <c r="S10" s="892"/>
      <c r="T10" s="892"/>
      <c r="U10" s="892"/>
      <c r="V10" s="892"/>
      <c r="W10" s="892"/>
      <c r="X10" s="892"/>
    </row>
    <row r="11" spans="1:24" s="45" customFormat="1" ht="30" customHeight="1">
      <c r="B11" s="41"/>
      <c r="C11" s="42" t="s">
        <v>1003</v>
      </c>
      <c r="D11" s="42"/>
      <c r="E11" s="43"/>
      <c r="F11" s="44"/>
      <c r="H11" s="892"/>
      <c r="I11" s="892"/>
      <c r="J11" s="892"/>
      <c r="K11" s="892"/>
      <c r="L11" s="892"/>
      <c r="M11" s="892"/>
      <c r="N11" s="892"/>
      <c r="O11" s="892"/>
      <c r="P11" s="892"/>
      <c r="Q11" s="892"/>
      <c r="R11" s="892"/>
      <c r="S11" s="892"/>
      <c r="T11" s="892"/>
      <c r="U11" s="892"/>
      <c r="V11" s="892"/>
      <c r="W11" s="892"/>
      <c r="X11" s="892"/>
    </row>
    <row r="12" spans="1:24" s="45" customFormat="1" ht="30" customHeight="1">
      <c r="B12" s="41"/>
      <c r="C12" s="911" t="str">
        <f ca="1">IF(_GENERAL!D15&lt;&gt;"Íntegra","No aplica a entidades con participación del Cabildo no íntegra","")</f>
        <v>No aplica a entidades con participación del Cabildo no íntegra</v>
      </c>
      <c r="D12" s="318"/>
      <c r="E12" s="30"/>
      <c r="F12" s="44"/>
      <c r="H12" s="892"/>
      <c r="I12" s="892"/>
      <c r="J12" s="892"/>
      <c r="K12" s="892"/>
      <c r="L12" s="892"/>
      <c r="M12" s="892"/>
      <c r="N12" s="892"/>
      <c r="O12" s="892"/>
      <c r="P12" s="892"/>
      <c r="Q12" s="892"/>
      <c r="R12" s="892"/>
      <c r="S12" s="892"/>
      <c r="T12" s="892"/>
      <c r="U12" s="892"/>
      <c r="V12" s="892"/>
      <c r="W12" s="892"/>
      <c r="X12" s="892"/>
    </row>
    <row r="13" spans="1:24" ht="9" customHeight="1">
      <c r="B13" s="46"/>
      <c r="C13" s="571"/>
      <c r="D13" s="571"/>
      <c r="E13" s="30"/>
      <c r="F13" s="38"/>
      <c r="H13" s="892"/>
      <c r="I13" s="892"/>
      <c r="J13" s="892"/>
      <c r="K13" s="892"/>
      <c r="L13" s="892"/>
      <c r="M13" s="892"/>
      <c r="N13" s="892"/>
      <c r="O13" s="892"/>
      <c r="P13" s="892"/>
      <c r="Q13" s="892"/>
      <c r="R13" s="892"/>
      <c r="S13" s="892"/>
      <c r="T13" s="892"/>
      <c r="U13" s="892"/>
      <c r="V13" s="892"/>
      <c r="W13" s="892"/>
      <c r="X13" s="892"/>
    </row>
    <row r="14" spans="1:24" s="95" customFormat="1" ht="24" customHeight="1">
      <c r="A14" s="599"/>
      <c r="B14" s="805"/>
      <c r="C14" s="1207" t="s">
        <v>1004</v>
      </c>
      <c r="D14" s="1209"/>
      <c r="E14" s="130" t="s">
        <v>700</v>
      </c>
      <c r="F14" s="806"/>
      <c r="G14" s="599"/>
      <c r="H14" s="892"/>
      <c r="I14" s="892"/>
      <c r="J14" s="892"/>
      <c r="K14" s="892"/>
      <c r="L14" s="892"/>
      <c r="M14" s="892"/>
      <c r="N14" s="892"/>
      <c r="O14" s="892"/>
      <c r="P14" s="892"/>
      <c r="Q14" s="892"/>
      <c r="R14" s="892"/>
      <c r="S14" s="892"/>
      <c r="T14" s="892"/>
      <c r="U14" s="892"/>
      <c r="V14" s="892"/>
      <c r="W14" s="892"/>
      <c r="X14" s="892"/>
    </row>
    <row r="15" spans="1:24" ht="9" customHeight="1">
      <c r="B15" s="46"/>
      <c r="C15" s="27"/>
      <c r="D15" s="571"/>
      <c r="E15" s="30"/>
      <c r="F15" s="38"/>
      <c r="H15" s="892"/>
      <c r="I15" s="892"/>
      <c r="J15" s="892"/>
      <c r="K15" s="892"/>
      <c r="L15" s="892"/>
      <c r="M15" s="892"/>
      <c r="N15" s="892"/>
      <c r="O15" s="892"/>
      <c r="P15" s="892"/>
      <c r="Q15" s="892"/>
      <c r="R15" s="892"/>
      <c r="S15" s="892"/>
      <c r="T15" s="892"/>
      <c r="U15" s="892"/>
      <c r="V15" s="892"/>
      <c r="W15" s="892"/>
      <c r="X15" s="892"/>
    </row>
    <row r="16" spans="1:24" s="77" customFormat="1" ht="22.95" customHeight="1">
      <c r="A16" s="892"/>
      <c r="B16" s="824"/>
      <c r="C16" s="1060" t="s">
        <v>403</v>
      </c>
      <c r="D16" s="951" t="s">
        <v>1005</v>
      </c>
      <c r="E16" s="1061">
        <f>'_FC-90_DETALLE'!H16</f>
        <v>0</v>
      </c>
      <c r="F16" s="825"/>
      <c r="G16" s="892"/>
      <c r="H16" s="892"/>
      <c r="I16" s="892"/>
      <c r="J16" s="892"/>
      <c r="K16" s="892"/>
      <c r="L16" s="892"/>
      <c r="M16" s="892"/>
      <c r="N16" s="892"/>
      <c r="O16" s="892"/>
      <c r="P16" s="892"/>
      <c r="Q16" s="892"/>
      <c r="R16" s="892"/>
      <c r="S16" s="892"/>
      <c r="T16" s="892"/>
      <c r="U16" s="892"/>
      <c r="V16" s="892"/>
      <c r="W16" s="892"/>
      <c r="X16" s="892"/>
    </row>
    <row r="17" spans="1:24" s="77" customFormat="1" ht="22.95" customHeight="1">
      <c r="A17" s="892"/>
      <c r="B17" s="824"/>
      <c r="C17" s="1055" t="s">
        <v>405</v>
      </c>
      <c r="D17" s="682" t="s">
        <v>1006</v>
      </c>
      <c r="E17" s="1051">
        <f>'_FC-90_DETALLE'!H17</f>
        <v>0</v>
      </c>
      <c r="F17" s="825"/>
      <c r="G17" s="892"/>
      <c r="H17" s="892"/>
      <c r="I17" s="892"/>
      <c r="J17" s="892"/>
      <c r="K17" s="892"/>
      <c r="L17" s="892"/>
      <c r="M17" s="892"/>
      <c r="N17" s="892"/>
      <c r="O17" s="892"/>
      <c r="P17" s="892"/>
      <c r="Q17" s="892"/>
      <c r="R17" s="892"/>
      <c r="S17" s="892"/>
      <c r="T17" s="892"/>
      <c r="U17" s="892"/>
      <c r="V17" s="892"/>
      <c r="W17" s="892"/>
      <c r="X17" s="892"/>
    </row>
    <row r="18" spans="1:24" s="77" customFormat="1" ht="22.95" customHeight="1">
      <c r="A18" s="892"/>
      <c r="B18" s="824"/>
      <c r="C18" s="1055" t="s">
        <v>407</v>
      </c>
      <c r="D18" s="682" t="s">
        <v>1007</v>
      </c>
      <c r="E18" s="1051">
        <f>'_FC-90_DETALLE'!H18</f>
        <v>552098.82999999996</v>
      </c>
      <c r="F18" s="825"/>
      <c r="G18" s="892"/>
      <c r="H18" s="892"/>
      <c r="I18" s="892"/>
      <c r="J18" s="892"/>
      <c r="K18" s="892"/>
      <c r="L18" s="892"/>
      <c r="M18" s="892"/>
      <c r="N18" s="892"/>
      <c r="O18" s="892"/>
      <c r="P18" s="892"/>
      <c r="Q18" s="892"/>
      <c r="R18" s="892"/>
      <c r="S18" s="892"/>
      <c r="T18" s="892"/>
      <c r="U18" s="892"/>
      <c r="V18" s="892"/>
      <c r="W18" s="892"/>
      <c r="X18" s="892"/>
    </row>
    <row r="19" spans="1:24" s="77" customFormat="1" ht="22.95" customHeight="1">
      <c r="A19" s="892"/>
      <c r="B19" s="824"/>
      <c r="C19" s="1055" t="s">
        <v>409</v>
      </c>
      <c r="D19" s="682" t="s">
        <v>1008</v>
      </c>
      <c r="E19" s="1051">
        <f>'_FC-90_DETALLE'!H30</f>
        <v>425000</v>
      </c>
      <c r="F19" s="825"/>
      <c r="G19" s="892"/>
      <c r="H19" s="892"/>
      <c r="I19" s="892"/>
      <c r="J19" s="892"/>
      <c r="K19" s="892"/>
      <c r="L19" s="892"/>
      <c r="M19" s="892"/>
      <c r="N19" s="892"/>
      <c r="O19" s="892"/>
      <c r="P19" s="892"/>
      <c r="Q19" s="892"/>
      <c r="R19" s="892"/>
      <c r="S19" s="892"/>
      <c r="T19" s="892"/>
      <c r="U19" s="892"/>
      <c r="V19" s="892"/>
      <c r="W19" s="892"/>
      <c r="X19" s="892"/>
    </row>
    <row r="20" spans="1:24" s="77" customFormat="1" ht="22.95" customHeight="1">
      <c r="A20" s="892"/>
      <c r="B20" s="824"/>
      <c r="C20" s="1058" t="s">
        <v>411</v>
      </c>
      <c r="D20" s="1033" t="s">
        <v>1009</v>
      </c>
      <c r="E20" s="1052">
        <f>'_FC-90_DETALLE'!H35</f>
        <v>28200</v>
      </c>
      <c r="F20" s="825"/>
      <c r="G20" s="892"/>
      <c r="H20" s="892"/>
      <c r="I20" s="892"/>
      <c r="J20" s="892"/>
      <c r="K20" s="892"/>
      <c r="L20" s="892"/>
      <c r="M20" s="892"/>
      <c r="N20" s="892"/>
      <c r="O20" s="892"/>
      <c r="P20" s="892"/>
      <c r="Q20" s="892"/>
      <c r="R20" s="892"/>
      <c r="S20" s="892"/>
      <c r="T20" s="892"/>
      <c r="U20" s="892"/>
      <c r="V20" s="892"/>
      <c r="W20" s="892"/>
      <c r="X20" s="892"/>
    </row>
    <row r="21" spans="1:24" s="77" customFormat="1" ht="22.95" customHeight="1">
      <c r="A21" s="892"/>
      <c r="B21" s="824"/>
      <c r="C21" s="1321" t="s">
        <v>1010</v>
      </c>
      <c r="D21" s="1322"/>
      <c r="E21" s="143">
        <f>SUM(E16:E20)</f>
        <v>1005298.83</v>
      </c>
      <c r="F21" s="825"/>
      <c r="G21" s="892"/>
      <c r="H21" s="892"/>
      <c r="I21" s="892"/>
      <c r="J21" s="892"/>
      <c r="K21" s="892"/>
      <c r="L21" s="892"/>
      <c r="M21" s="892"/>
      <c r="N21" s="892"/>
      <c r="O21" s="892"/>
      <c r="P21" s="892"/>
      <c r="Q21" s="892"/>
      <c r="R21" s="892"/>
      <c r="S21" s="892"/>
      <c r="T21" s="892"/>
      <c r="U21" s="892"/>
      <c r="V21" s="892"/>
      <c r="W21" s="892"/>
      <c r="X21" s="892"/>
    </row>
    <row r="22" spans="1:24" s="77" customFormat="1" ht="9" customHeight="1">
      <c r="A22" s="892"/>
      <c r="B22" s="824"/>
      <c r="C22" s="8"/>
      <c r="D22" s="571"/>
      <c r="E22" s="56"/>
      <c r="F22" s="825"/>
      <c r="G22" s="892"/>
      <c r="H22" s="892"/>
      <c r="I22" s="892"/>
      <c r="J22" s="892"/>
      <c r="K22" s="892"/>
      <c r="L22" s="892"/>
      <c r="M22" s="892"/>
      <c r="N22" s="892"/>
      <c r="O22" s="892"/>
      <c r="P22" s="892"/>
      <c r="Q22" s="892"/>
      <c r="R22" s="892"/>
      <c r="S22" s="892"/>
      <c r="T22" s="892"/>
      <c r="U22" s="892"/>
      <c r="V22" s="892"/>
      <c r="W22" s="892"/>
      <c r="X22" s="892"/>
    </row>
    <row r="23" spans="1:24" s="77" customFormat="1" ht="22.95" customHeight="1">
      <c r="A23" s="892"/>
      <c r="B23" s="824"/>
      <c r="C23" s="1060" t="s">
        <v>413</v>
      </c>
      <c r="D23" s="951" t="s">
        <v>1011</v>
      </c>
      <c r="E23" s="1061">
        <f>'_FC-90_DETALLE'!H45</f>
        <v>0</v>
      </c>
      <c r="F23" s="825"/>
      <c r="G23" s="892"/>
      <c r="H23" s="892"/>
      <c r="I23" s="892"/>
      <c r="J23" s="892"/>
      <c r="K23" s="892"/>
      <c r="L23" s="892"/>
      <c r="M23" s="892"/>
      <c r="N23" s="892"/>
      <c r="O23" s="892"/>
      <c r="P23" s="892"/>
      <c r="Q23" s="892"/>
      <c r="R23" s="892"/>
      <c r="S23" s="892"/>
      <c r="T23" s="892"/>
      <c r="U23" s="892"/>
      <c r="V23" s="892"/>
      <c r="W23" s="892"/>
      <c r="X23" s="892"/>
    </row>
    <row r="24" spans="1:24" s="77" customFormat="1" ht="22.95" customHeight="1">
      <c r="A24" s="892"/>
      <c r="B24" s="824"/>
      <c r="C24" s="1055" t="s">
        <v>415</v>
      </c>
      <c r="D24" s="682" t="s">
        <v>1012</v>
      </c>
      <c r="E24" s="1051">
        <f>'_FC-90_DETALLE'!H49</f>
        <v>0</v>
      </c>
      <c r="F24" s="825"/>
      <c r="G24" s="892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</row>
    <row r="25" spans="1:24" s="77" customFormat="1" ht="22.95" customHeight="1">
      <c r="A25" s="892"/>
      <c r="B25" s="824"/>
      <c r="C25" s="1321" t="s">
        <v>1013</v>
      </c>
      <c r="D25" s="1322"/>
      <c r="E25" s="143">
        <f>SUM(E23:E24)</f>
        <v>0</v>
      </c>
      <c r="F25" s="825"/>
      <c r="G25" s="892"/>
      <c r="H25" s="892"/>
      <c r="I25" s="892"/>
      <c r="J25" s="892"/>
      <c r="K25" s="892"/>
      <c r="L25" s="892"/>
      <c r="M25" s="892"/>
      <c r="N25" s="892"/>
      <c r="O25" s="892"/>
      <c r="P25" s="892"/>
      <c r="Q25" s="892"/>
      <c r="R25" s="892"/>
      <c r="S25" s="892"/>
      <c r="T25" s="892"/>
      <c r="U25" s="892"/>
      <c r="V25" s="892"/>
      <c r="W25" s="892"/>
      <c r="X25" s="892"/>
    </row>
    <row r="26" spans="1:24" s="77" customFormat="1" ht="9" customHeight="1">
      <c r="A26" s="892"/>
      <c r="B26" s="824"/>
      <c r="C26" s="8"/>
      <c r="D26" s="571"/>
      <c r="E26" s="56"/>
      <c r="F26" s="825"/>
      <c r="G26" s="892"/>
      <c r="H26" s="892"/>
      <c r="I26" s="892"/>
      <c r="J26" s="892"/>
      <c r="K26" s="892"/>
      <c r="L26" s="892"/>
      <c r="M26" s="892"/>
      <c r="N26" s="892"/>
      <c r="O26" s="892"/>
      <c r="P26" s="892"/>
      <c r="Q26" s="892"/>
      <c r="R26" s="892"/>
      <c r="S26" s="892"/>
      <c r="T26" s="892"/>
      <c r="U26" s="892"/>
      <c r="V26" s="892"/>
      <c r="W26" s="892"/>
      <c r="X26" s="892"/>
    </row>
    <row r="27" spans="1:24" s="77" customFormat="1" ht="22.95" customHeight="1">
      <c r="A27" s="892"/>
      <c r="B27" s="824"/>
      <c r="C27" s="1060" t="s">
        <v>1014</v>
      </c>
      <c r="D27" s="951" t="s">
        <v>1015</v>
      </c>
      <c r="E27" s="1061">
        <f>'_FC-90_DETALLE'!H56</f>
        <v>0</v>
      </c>
      <c r="F27" s="825"/>
      <c r="G27" s="892"/>
      <c r="H27" s="892"/>
      <c r="I27" s="892"/>
      <c r="J27" s="892"/>
      <c r="K27" s="892"/>
      <c r="L27" s="892"/>
      <c r="M27" s="892"/>
      <c r="N27" s="892"/>
      <c r="O27" s="892"/>
      <c r="P27" s="892"/>
      <c r="Q27" s="892"/>
      <c r="R27" s="892"/>
      <c r="S27" s="892"/>
      <c r="T27" s="892"/>
      <c r="U27" s="892"/>
      <c r="V27" s="892"/>
      <c r="W27" s="892"/>
      <c r="X27" s="892"/>
    </row>
    <row r="28" spans="1:24" s="77" customFormat="1" ht="22.95" customHeight="1">
      <c r="A28" s="892"/>
      <c r="B28" s="824"/>
      <c r="C28" s="1055" t="s">
        <v>1016</v>
      </c>
      <c r="D28" s="682" t="s">
        <v>1017</v>
      </c>
      <c r="E28" s="1051">
        <f>'_FC-90_DETALLE'!H63</f>
        <v>160600</v>
      </c>
      <c r="F28" s="825"/>
      <c r="G28" s="892"/>
      <c r="H28" s="892"/>
      <c r="I28" s="892"/>
      <c r="J28" s="892"/>
      <c r="K28" s="892"/>
      <c r="L28" s="892"/>
      <c r="M28" s="892"/>
      <c r="N28" s="892"/>
      <c r="O28" s="892"/>
      <c r="P28" s="892"/>
      <c r="Q28" s="892"/>
      <c r="R28" s="892"/>
      <c r="S28" s="892"/>
      <c r="T28" s="892"/>
      <c r="U28" s="892"/>
      <c r="V28" s="892"/>
      <c r="W28" s="892"/>
      <c r="X28" s="892"/>
    </row>
    <row r="29" spans="1:24" s="77" customFormat="1" ht="22.95" customHeight="1">
      <c r="A29" s="892"/>
      <c r="B29" s="824"/>
      <c r="C29" s="1321" t="s">
        <v>1018</v>
      </c>
      <c r="D29" s="1322"/>
      <c r="E29" s="143">
        <f>SUM(E27:E28)</f>
        <v>160600</v>
      </c>
      <c r="F29" s="825"/>
      <c r="G29" s="892"/>
      <c r="H29" s="892"/>
      <c r="I29" s="892"/>
      <c r="J29" s="892"/>
      <c r="K29" s="892"/>
      <c r="L29" s="892"/>
      <c r="M29" s="892"/>
      <c r="N29" s="892"/>
      <c r="O29" s="892"/>
      <c r="P29" s="892"/>
      <c r="Q29" s="892"/>
      <c r="R29" s="892"/>
      <c r="S29" s="892"/>
      <c r="T29" s="892"/>
      <c r="U29" s="892"/>
      <c r="V29" s="892"/>
      <c r="W29" s="892"/>
      <c r="X29" s="892"/>
    </row>
    <row r="30" spans="1:24" s="77" customFormat="1" ht="22.95" customHeight="1">
      <c r="A30" s="892"/>
      <c r="B30" s="824"/>
      <c r="C30" s="571"/>
      <c r="D30" s="599"/>
      <c r="E30" s="425"/>
      <c r="F30" s="825"/>
      <c r="G30" s="892"/>
      <c r="H30" s="892"/>
      <c r="I30" s="892"/>
      <c r="J30" s="892"/>
      <c r="K30" s="892"/>
      <c r="L30" s="892"/>
      <c r="M30" s="892"/>
      <c r="N30" s="892"/>
      <c r="O30" s="892"/>
      <c r="P30" s="892"/>
      <c r="Q30" s="892"/>
      <c r="R30" s="892"/>
      <c r="S30" s="892"/>
      <c r="T30" s="892"/>
      <c r="U30" s="892"/>
      <c r="V30" s="892"/>
      <c r="W30" s="892"/>
      <c r="X30" s="892"/>
    </row>
    <row r="31" spans="1:24" s="121" customFormat="1" ht="22.95" customHeight="1" thickBot="1">
      <c r="B31" s="41"/>
      <c r="C31" s="1326" t="s">
        <v>1019</v>
      </c>
      <c r="D31" s="1327"/>
      <c r="E31" s="148">
        <f>E21+E25+E29</f>
        <v>1165898.83</v>
      </c>
      <c r="F31" s="44"/>
      <c r="H31" s="599"/>
      <c r="I31" s="599"/>
      <c r="J31" s="599"/>
      <c r="K31" s="599"/>
      <c r="L31" s="599"/>
      <c r="M31" s="599"/>
      <c r="N31" s="599"/>
      <c r="O31" s="599"/>
      <c r="P31" s="599"/>
      <c r="Q31" s="599"/>
      <c r="R31" s="599"/>
      <c r="S31" s="599"/>
      <c r="T31" s="599"/>
      <c r="U31" s="599"/>
      <c r="V31" s="599"/>
      <c r="W31" s="599"/>
      <c r="X31" s="599"/>
    </row>
    <row r="32" spans="1:24" s="77" customFormat="1" ht="9" customHeight="1">
      <c r="A32" s="892"/>
      <c r="B32" s="824"/>
      <c r="C32" s="8"/>
      <c r="D32" s="571"/>
      <c r="E32" s="56"/>
      <c r="F32" s="825"/>
      <c r="G32" s="892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 s="77" customFormat="1" ht="22.95" customHeight="1">
      <c r="A33" s="892"/>
      <c r="B33" s="824"/>
      <c r="C33" s="1321" t="s">
        <v>1020</v>
      </c>
      <c r="D33" s="1322"/>
      <c r="E33" s="143">
        <f>'_FC-90_DETALLE'!H76</f>
        <v>4199.46</v>
      </c>
      <c r="F33" s="825"/>
      <c r="G33" s="892"/>
      <c r="H33" s="892"/>
      <c r="I33" s="892"/>
      <c r="J33" s="892"/>
      <c r="K33" s="892"/>
      <c r="L33" s="892"/>
      <c r="M33" s="892"/>
      <c r="N33" s="892"/>
      <c r="O33" s="892"/>
      <c r="P33" s="892"/>
      <c r="Q33" s="892"/>
      <c r="R33" s="892"/>
      <c r="S33" s="892"/>
      <c r="T33" s="892"/>
      <c r="U33" s="892"/>
      <c r="V33" s="892"/>
      <c r="W33" s="892"/>
      <c r="X33" s="892"/>
    </row>
    <row r="34" spans="1:24" s="77" customFormat="1" ht="9" customHeight="1">
      <c r="A34" s="892"/>
      <c r="B34" s="824"/>
      <c r="C34" s="8"/>
      <c r="D34" s="571"/>
      <c r="E34" s="56"/>
      <c r="F34" s="825"/>
      <c r="G34" s="892"/>
      <c r="H34" s="892"/>
      <c r="I34" s="892"/>
      <c r="J34" s="892"/>
      <c r="K34" s="892"/>
      <c r="L34" s="892"/>
      <c r="M34" s="892"/>
      <c r="N34" s="892"/>
      <c r="O34" s="892"/>
      <c r="P34" s="892"/>
      <c r="Q34" s="892"/>
      <c r="R34" s="892"/>
      <c r="S34" s="892"/>
      <c r="T34" s="892"/>
      <c r="U34" s="892"/>
      <c r="V34" s="892"/>
      <c r="W34" s="892"/>
      <c r="X34" s="892"/>
    </row>
    <row r="35" spans="1:24" s="77" customFormat="1" ht="22.95" customHeight="1" thickBot="1">
      <c r="A35" s="892"/>
      <c r="B35" s="824"/>
      <c r="C35" s="1326" t="s">
        <v>1019</v>
      </c>
      <c r="D35" s="1327"/>
      <c r="E35" s="148">
        <f>E31+E33</f>
        <v>1170098.29</v>
      </c>
      <c r="F35" s="825"/>
      <c r="G35" s="892"/>
      <c r="H35" s="892"/>
      <c r="I35" s="892"/>
      <c r="J35" s="892"/>
      <c r="K35" s="892"/>
      <c r="L35" s="892"/>
      <c r="M35" s="892"/>
      <c r="N35" s="892"/>
      <c r="O35" s="892"/>
      <c r="P35" s="892"/>
      <c r="Q35" s="892"/>
      <c r="R35" s="892"/>
      <c r="S35" s="892"/>
      <c r="T35" s="892"/>
      <c r="U35" s="892"/>
      <c r="V35" s="892"/>
      <c r="W35" s="892"/>
      <c r="X35" s="892"/>
    </row>
    <row r="36" spans="1:24" s="77" customFormat="1" ht="9" customHeight="1">
      <c r="A36" s="892"/>
      <c r="B36" s="824"/>
      <c r="C36" s="8"/>
      <c r="D36" s="571"/>
      <c r="E36" s="56"/>
      <c r="F36" s="825"/>
      <c r="G36" s="892"/>
      <c r="H36" s="892"/>
      <c r="I36" s="892"/>
      <c r="J36" s="892"/>
      <c r="K36" s="892"/>
      <c r="L36" s="892"/>
      <c r="M36" s="892"/>
      <c r="N36" s="892"/>
      <c r="O36" s="892"/>
      <c r="P36" s="892"/>
      <c r="Q36" s="892"/>
      <c r="R36" s="892"/>
      <c r="S36" s="892"/>
      <c r="T36" s="892"/>
      <c r="U36" s="892"/>
      <c r="V36" s="892"/>
      <c r="W36" s="892"/>
      <c r="X36" s="892"/>
    </row>
    <row r="37" spans="1:24" s="77" customFormat="1" ht="22.95" customHeight="1">
      <c r="A37" s="892"/>
      <c r="B37" s="824"/>
      <c r="C37" s="149"/>
      <c r="D37" s="149"/>
      <c r="E37" s="150"/>
      <c r="F37" s="825"/>
      <c r="G37" s="892"/>
      <c r="H37" s="892"/>
      <c r="I37" s="892"/>
      <c r="J37" s="892"/>
      <c r="K37" s="892"/>
      <c r="L37" s="892"/>
      <c r="M37" s="892"/>
      <c r="N37" s="892"/>
      <c r="O37" s="892"/>
      <c r="P37" s="892"/>
      <c r="Q37" s="892"/>
      <c r="R37" s="892"/>
      <c r="S37" s="892"/>
      <c r="T37" s="892"/>
      <c r="U37" s="892"/>
      <c r="V37" s="892"/>
      <c r="W37" s="892"/>
      <c r="X37" s="892"/>
    </row>
    <row r="38" spans="1:24" s="95" customFormat="1" ht="24" customHeight="1">
      <c r="A38" s="599"/>
      <c r="B38" s="805"/>
      <c r="C38" s="1207" t="s">
        <v>1021</v>
      </c>
      <c r="D38" s="1209"/>
      <c r="E38" s="130" t="s">
        <v>700</v>
      </c>
      <c r="F38" s="806"/>
      <c r="G38" s="599"/>
      <c r="H38" s="892"/>
      <c r="I38" s="892"/>
      <c r="J38" s="892"/>
      <c r="K38" s="892"/>
      <c r="L38" s="892"/>
      <c r="M38" s="892"/>
      <c r="N38" s="892"/>
      <c r="O38" s="892"/>
      <c r="P38" s="892"/>
      <c r="Q38" s="892"/>
      <c r="R38" s="892"/>
      <c r="S38" s="892"/>
      <c r="T38" s="892"/>
      <c r="U38" s="892"/>
      <c r="V38" s="892"/>
      <c r="W38" s="892"/>
      <c r="X38" s="892"/>
    </row>
    <row r="39" spans="1:24" ht="9" customHeight="1">
      <c r="B39" s="46"/>
      <c r="C39" s="27"/>
      <c r="D39" s="571"/>
      <c r="E39" s="30"/>
      <c r="F39" s="38"/>
      <c r="H39" s="892"/>
      <c r="I39" s="892"/>
      <c r="J39" s="892"/>
      <c r="K39" s="892"/>
      <c r="L39" s="892"/>
      <c r="M39" s="892"/>
      <c r="N39" s="892"/>
      <c r="O39" s="892"/>
      <c r="P39" s="892"/>
      <c r="Q39" s="892"/>
      <c r="R39" s="892"/>
      <c r="S39" s="892"/>
      <c r="T39" s="892"/>
      <c r="U39" s="892"/>
      <c r="V39" s="892"/>
      <c r="W39" s="892"/>
      <c r="X39" s="892"/>
    </row>
    <row r="40" spans="1:24" s="77" customFormat="1" ht="22.95" customHeight="1">
      <c r="A40" s="892"/>
      <c r="B40" s="824"/>
      <c r="C40" s="1060" t="s">
        <v>403</v>
      </c>
      <c r="D40" s="951" t="s">
        <v>1022</v>
      </c>
      <c r="E40" s="1061">
        <f>'_FC-90_DETALLE'!H91</f>
        <v>604219.26</v>
      </c>
      <c r="F40" s="825"/>
      <c r="G40" s="892"/>
      <c r="H40" s="892"/>
      <c r="I40" s="892"/>
      <c r="J40" s="892"/>
      <c r="K40" s="892"/>
      <c r="L40" s="892"/>
      <c r="M40" s="892"/>
      <c r="N40" s="892"/>
      <c r="O40" s="892"/>
      <c r="P40" s="892"/>
      <c r="Q40" s="892"/>
      <c r="R40" s="892"/>
      <c r="S40" s="892"/>
      <c r="T40" s="892"/>
      <c r="U40" s="892"/>
      <c r="V40" s="892"/>
      <c r="W40" s="892"/>
      <c r="X40" s="892"/>
    </row>
    <row r="41" spans="1:24" s="77" customFormat="1" ht="22.95" customHeight="1">
      <c r="A41" s="892"/>
      <c r="B41" s="824"/>
      <c r="C41" s="1055" t="s">
        <v>405</v>
      </c>
      <c r="D41" s="682" t="s">
        <v>1023</v>
      </c>
      <c r="E41" s="1051">
        <f>'_FC-90_DETALLE'!H96</f>
        <v>725392.37999999989</v>
      </c>
      <c r="F41" s="825"/>
      <c r="G41" s="892"/>
      <c r="H41" s="892"/>
      <c r="I41" s="892"/>
      <c r="J41" s="892"/>
      <c r="K41" s="892"/>
      <c r="L41" s="892"/>
      <c r="M41" s="892"/>
      <c r="N41" s="892"/>
      <c r="O41" s="892"/>
      <c r="P41" s="892"/>
      <c r="Q41" s="892"/>
      <c r="R41" s="892"/>
      <c r="S41" s="892"/>
      <c r="T41" s="892"/>
      <c r="U41" s="892"/>
      <c r="V41" s="892"/>
      <c r="W41" s="892"/>
      <c r="X41" s="892"/>
    </row>
    <row r="42" spans="1:24" s="77" customFormat="1" ht="22.95" customHeight="1">
      <c r="A42" s="892"/>
      <c r="B42" s="824"/>
      <c r="C42" s="1055" t="s">
        <v>407</v>
      </c>
      <c r="D42" s="682" t="s">
        <v>1024</v>
      </c>
      <c r="E42" s="1051">
        <f>'_FC-90_DETALLE'!H104</f>
        <v>0</v>
      </c>
      <c r="F42" s="825"/>
      <c r="G42" s="892"/>
      <c r="H42" s="892"/>
      <c r="I42" s="892"/>
      <c r="J42" s="892"/>
      <c r="K42" s="892"/>
      <c r="L42" s="892"/>
      <c r="M42" s="892"/>
      <c r="N42" s="892"/>
      <c r="O42" s="892"/>
      <c r="P42" s="892"/>
      <c r="Q42" s="892"/>
      <c r="R42" s="892"/>
      <c r="S42" s="892"/>
      <c r="T42" s="892"/>
      <c r="U42" s="892"/>
      <c r="V42" s="892"/>
      <c r="W42" s="892"/>
      <c r="X42" s="892"/>
    </row>
    <row r="43" spans="1:24" s="77" customFormat="1" ht="22.95" customHeight="1">
      <c r="A43" s="892"/>
      <c r="B43" s="824"/>
      <c r="C43" s="1055" t="s">
        <v>409</v>
      </c>
      <c r="D43" s="682" t="s">
        <v>1025</v>
      </c>
      <c r="E43" s="1051">
        <f>'_FC-90_DETALLE'!H110</f>
        <v>0</v>
      </c>
      <c r="F43" s="825"/>
      <c r="G43" s="892"/>
      <c r="H43" s="892"/>
      <c r="I43" s="892"/>
      <c r="J43" s="892"/>
      <c r="K43" s="892"/>
      <c r="L43" s="892"/>
      <c r="M43" s="892"/>
      <c r="N43" s="892"/>
      <c r="O43" s="892"/>
      <c r="P43" s="892"/>
      <c r="Q43" s="892"/>
      <c r="R43" s="892"/>
      <c r="S43" s="892"/>
      <c r="T43" s="892"/>
      <c r="U43" s="892"/>
      <c r="V43" s="892"/>
      <c r="W43" s="892"/>
      <c r="X43" s="892"/>
    </row>
    <row r="44" spans="1:24" s="77" customFormat="1" ht="22.95" customHeight="1">
      <c r="A44" s="892"/>
      <c r="B44" s="824"/>
      <c r="C44" s="1321" t="s">
        <v>1026</v>
      </c>
      <c r="D44" s="1322"/>
      <c r="E44" s="143">
        <f>SUM(E40:E43)</f>
        <v>1329611.6399999999</v>
      </c>
      <c r="F44" s="825"/>
      <c r="G44" s="892"/>
      <c r="H44" s="892"/>
      <c r="I44" s="892"/>
      <c r="J44" s="892"/>
      <c r="K44" s="892"/>
      <c r="L44" s="892"/>
      <c r="M44" s="892"/>
      <c r="N44" s="892"/>
      <c r="O44" s="892"/>
      <c r="P44" s="892"/>
      <c r="Q44" s="892"/>
      <c r="R44" s="892"/>
      <c r="S44" s="892"/>
      <c r="T44" s="892"/>
      <c r="U44" s="892"/>
      <c r="V44" s="892"/>
      <c r="W44" s="892"/>
      <c r="X44" s="892"/>
    </row>
    <row r="45" spans="1:24" s="77" customFormat="1" ht="9" customHeight="1">
      <c r="A45" s="892"/>
      <c r="B45" s="824"/>
      <c r="C45" s="8"/>
      <c r="D45" s="571"/>
      <c r="E45" s="56"/>
      <c r="F45" s="825"/>
      <c r="G45" s="892"/>
      <c r="H45" s="892"/>
      <c r="I45" s="892"/>
      <c r="J45" s="892"/>
      <c r="K45" s="892"/>
      <c r="L45" s="892"/>
      <c r="M45" s="892"/>
      <c r="N45" s="892"/>
      <c r="O45" s="892"/>
      <c r="P45" s="892"/>
      <c r="Q45" s="892"/>
      <c r="R45" s="892"/>
      <c r="S45" s="892"/>
      <c r="T45" s="892"/>
      <c r="U45" s="892"/>
      <c r="V45" s="892"/>
      <c r="W45" s="892"/>
      <c r="X45" s="892"/>
    </row>
    <row r="46" spans="1:24" s="77" customFormat="1" ht="22.95" customHeight="1">
      <c r="A46" s="892"/>
      <c r="B46" s="824"/>
      <c r="C46" s="1060" t="s">
        <v>413</v>
      </c>
      <c r="D46" s="951" t="s">
        <v>1027</v>
      </c>
      <c r="E46" s="1061">
        <f>'_FC-90_DETALLE'!H116</f>
        <v>10000</v>
      </c>
      <c r="F46" s="825"/>
      <c r="G46" s="892"/>
      <c r="H46" s="892"/>
      <c r="I46" s="892"/>
      <c r="J46" s="892"/>
      <c r="K46" s="892"/>
      <c r="L46" s="892"/>
      <c r="M46" s="892"/>
      <c r="N46" s="892"/>
      <c r="O46" s="892"/>
      <c r="P46" s="892"/>
      <c r="Q46" s="892"/>
      <c r="R46" s="892"/>
      <c r="S46" s="892"/>
      <c r="T46" s="892"/>
      <c r="U46" s="892"/>
      <c r="V46" s="892"/>
      <c r="W46" s="892"/>
      <c r="X46" s="892"/>
    </row>
    <row r="47" spans="1:24" s="77" customFormat="1" ht="22.95" customHeight="1">
      <c r="A47" s="892"/>
      <c r="B47" s="824"/>
      <c r="C47" s="1055" t="s">
        <v>415</v>
      </c>
      <c r="D47" s="682" t="s">
        <v>1012</v>
      </c>
      <c r="E47" s="1051">
        <f>'_FC-90_DETALLE'!H121</f>
        <v>0</v>
      </c>
      <c r="F47" s="825"/>
      <c r="G47" s="892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</row>
    <row r="48" spans="1:24" s="77" customFormat="1" ht="22.95" customHeight="1">
      <c r="A48" s="892"/>
      <c r="B48" s="824"/>
      <c r="C48" s="1321" t="s">
        <v>1028</v>
      </c>
      <c r="D48" s="1322"/>
      <c r="E48" s="143">
        <f>SUM(E46:E47)</f>
        <v>10000</v>
      </c>
      <c r="F48" s="825"/>
      <c r="G48" s="892"/>
      <c r="H48" s="892"/>
      <c r="I48" s="892"/>
      <c r="J48" s="892"/>
      <c r="K48" s="892"/>
      <c r="L48" s="892"/>
      <c r="M48" s="892"/>
      <c r="N48" s="892"/>
      <c r="O48" s="892"/>
      <c r="P48" s="892"/>
      <c r="Q48" s="892"/>
      <c r="R48" s="892"/>
      <c r="S48" s="892"/>
      <c r="T48" s="892"/>
      <c r="U48" s="892"/>
      <c r="V48" s="892"/>
      <c r="W48" s="892"/>
      <c r="X48" s="892"/>
    </row>
    <row r="49" spans="1:24" s="77" customFormat="1" ht="9" customHeight="1">
      <c r="A49" s="892"/>
      <c r="B49" s="824"/>
      <c r="C49" s="8"/>
      <c r="D49" s="571"/>
      <c r="E49" s="56"/>
      <c r="F49" s="825"/>
      <c r="G49" s="892"/>
      <c r="H49" s="892"/>
      <c r="I49" s="892"/>
      <c r="J49" s="892"/>
      <c r="K49" s="892"/>
      <c r="L49" s="892"/>
      <c r="M49" s="892"/>
      <c r="N49" s="892"/>
      <c r="O49" s="892"/>
      <c r="P49" s="892"/>
      <c r="Q49" s="892"/>
      <c r="R49" s="892"/>
      <c r="S49" s="892"/>
      <c r="T49" s="892"/>
      <c r="U49" s="892"/>
      <c r="V49" s="892"/>
      <c r="W49" s="892"/>
      <c r="X49" s="892"/>
    </row>
    <row r="50" spans="1:24" s="77" customFormat="1" ht="22.95" customHeight="1">
      <c r="A50" s="892"/>
      <c r="B50" s="824"/>
      <c r="C50" s="1060" t="s">
        <v>1014</v>
      </c>
      <c r="D50" s="951" t="s">
        <v>1015</v>
      </c>
      <c r="E50" s="1061">
        <f>'_FC-90_DETALLE'!H127</f>
        <v>0</v>
      </c>
      <c r="F50" s="825"/>
      <c r="G50" s="892"/>
      <c r="H50" s="892"/>
      <c r="I50" s="892"/>
      <c r="J50" s="892"/>
      <c r="K50" s="892"/>
      <c r="L50" s="892"/>
      <c r="M50" s="892"/>
      <c r="N50" s="892"/>
      <c r="O50" s="892"/>
      <c r="P50" s="892"/>
      <c r="Q50" s="892"/>
      <c r="R50" s="892"/>
      <c r="S50" s="892"/>
      <c r="T50" s="892"/>
      <c r="U50" s="892"/>
      <c r="V50" s="892"/>
      <c r="W50" s="892"/>
      <c r="X50" s="892"/>
    </row>
    <row r="51" spans="1:24" s="77" customFormat="1" ht="22.95" customHeight="1">
      <c r="A51" s="892"/>
      <c r="B51" s="824"/>
      <c r="C51" s="1055" t="s">
        <v>1016</v>
      </c>
      <c r="D51" s="682" t="s">
        <v>1017</v>
      </c>
      <c r="E51" s="1051">
        <f>'_FC-90_DETALLE'!H134</f>
        <v>0</v>
      </c>
      <c r="F51" s="825"/>
      <c r="G51" s="892"/>
      <c r="H51" s="892"/>
      <c r="I51" s="892"/>
      <c r="J51" s="892"/>
      <c r="K51" s="892"/>
      <c r="L51" s="892"/>
      <c r="M51" s="892"/>
      <c r="N51" s="892"/>
      <c r="O51" s="892"/>
      <c r="P51" s="892"/>
      <c r="Q51" s="892"/>
      <c r="R51" s="892"/>
      <c r="S51" s="892"/>
      <c r="T51" s="892"/>
      <c r="U51" s="892"/>
      <c r="V51" s="892"/>
      <c r="W51" s="892"/>
      <c r="X51" s="892"/>
    </row>
    <row r="52" spans="1:24" s="77" customFormat="1" ht="22.95" customHeight="1">
      <c r="A52" s="892"/>
      <c r="B52" s="824"/>
      <c r="C52" s="1321" t="s">
        <v>1029</v>
      </c>
      <c r="D52" s="1322"/>
      <c r="E52" s="143">
        <f>SUM(E50:E51)</f>
        <v>0</v>
      </c>
      <c r="F52" s="825"/>
      <c r="G52" s="892"/>
      <c r="H52" s="892"/>
      <c r="I52" s="892"/>
      <c r="J52" s="892"/>
      <c r="K52" s="892"/>
      <c r="L52" s="892"/>
      <c r="M52" s="892"/>
      <c r="N52" s="892"/>
      <c r="O52" s="892"/>
      <c r="P52" s="892"/>
      <c r="Q52" s="892"/>
      <c r="R52" s="892"/>
      <c r="S52" s="892"/>
      <c r="T52" s="892"/>
      <c r="U52" s="892"/>
      <c r="V52" s="892"/>
      <c r="W52" s="892"/>
      <c r="X52" s="892"/>
    </row>
    <row r="53" spans="1:24" s="77" customFormat="1" ht="22.95" customHeight="1">
      <c r="A53" s="892"/>
      <c r="B53" s="824"/>
      <c r="C53" s="571"/>
      <c r="D53" s="599"/>
      <c r="E53" s="425"/>
      <c r="F53" s="825"/>
      <c r="G53" s="892"/>
      <c r="H53" s="892"/>
      <c r="I53" s="892"/>
      <c r="J53" s="892"/>
      <c r="K53" s="892"/>
      <c r="L53" s="892"/>
      <c r="M53" s="892"/>
      <c r="N53" s="892"/>
      <c r="O53" s="892"/>
      <c r="P53" s="892"/>
      <c r="Q53" s="892"/>
      <c r="R53" s="892"/>
      <c r="S53" s="892"/>
      <c r="T53" s="892"/>
      <c r="U53" s="892"/>
      <c r="V53" s="892"/>
      <c r="W53" s="892"/>
      <c r="X53" s="892"/>
    </row>
    <row r="54" spans="1:24" s="121" customFormat="1" ht="22.95" customHeight="1" thickBot="1">
      <c r="B54" s="41"/>
      <c r="C54" s="1326" t="s">
        <v>1030</v>
      </c>
      <c r="D54" s="1327"/>
      <c r="E54" s="148">
        <f>E44+E48+E52</f>
        <v>1339611.6399999999</v>
      </c>
      <c r="F54" s="44"/>
      <c r="H54" s="892"/>
      <c r="I54" s="892"/>
      <c r="J54" s="892"/>
      <c r="K54" s="892"/>
      <c r="L54" s="892"/>
      <c r="M54" s="892"/>
      <c r="N54" s="892"/>
      <c r="O54" s="892"/>
      <c r="P54" s="892"/>
      <c r="Q54" s="892"/>
      <c r="R54" s="892"/>
      <c r="S54" s="892"/>
      <c r="T54" s="892"/>
      <c r="U54" s="892"/>
      <c r="V54" s="892"/>
      <c r="W54" s="892"/>
      <c r="X54" s="892"/>
    </row>
    <row r="55" spans="1:24" s="77" customFormat="1" ht="9" customHeight="1">
      <c r="A55" s="892"/>
      <c r="B55" s="824"/>
      <c r="C55" s="8"/>
      <c r="D55" s="571"/>
      <c r="E55" s="56"/>
      <c r="F55" s="825"/>
      <c r="G55" s="892"/>
      <c r="H55" s="892"/>
      <c r="I55" s="892"/>
      <c r="J55" s="892"/>
      <c r="K55" s="892"/>
      <c r="L55" s="892"/>
      <c r="M55" s="892"/>
      <c r="N55" s="892"/>
      <c r="O55" s="892"/>
      <c r="P55" s="892"/>
      <c r="Q55" s="892"/>
      <c r="R55" s="892"/>
      <c r="S55" s="892"/>
      <c r="T55" s="892"/>
      <c r="U55" s="892"/>
      <c r="V55" s="892"/>
      <c r="W55" s="892"/>
      <c r="X55" s="892"/>
    </row>
    <row r="56" spans="1:24" s="77" customFormat="1" ht="22.95" customHeight="1">
      <c r="A56" s="892"/>
      <c r="B56" s="824"/>
      <c r="C56" s="1321" t="s">
        <v>1031</v>
      </c>
      <c r="D56" s="1322"/>
      <c r="E56" s="143">
        <f>+'_FC-90_DETALLE'!H150</f>
        <v>17420.98</v>
      </c>
      <c r="F56" s="825"/>
      <c r="G56" s="892"/>
      <c r="H56" s="892"/>
      <c r="I56" s="892"/>
      <c r="J56" s="892"/>
      <c r="K56" s="892"/>
      <c r="L56" s="892"/>
      <c r="M56" s="892"/>
      <c r="N56" s="892"/>
      <c r="O56" s="892"/>
      <c r="P56" s="892"/>
      <c r="Q56" s="892"/>
      <c r="R56" s="892"/>
      <c r="S56" s="892"/>
      <c r="T56" s="892"/>
      <c r="U56" s="892"/>
      <c r="V56" s="892"/>
      <c r="W56" s="892"/>
      <c r="X56" s="892"/>
    </row>
    <row r="57" spans="1:24" s="77" customFormat="1" ht="9" customHeight="1">
      <c r="A57" s="892"/>
      <c r="B57" s="824"/>
      <c r="C57" s="8"/>
      <c r="D57" s="571"/>
      <c r="E57" s="56"/>
      <c r="F57" s="825"/>
      <c r="G57" s="892"/>
      <c r="H57" s="892"/>
      <c r="I57" s="892"/>
      <c r="J57" s="892"/>
      <c r="K57" s="892"/>
      <c r="L57" s="892"/>
      <c r="M57" s="892"/>
      <c r="N57" s="892"/>
      <c r="O57" s="892"/>
      <c r="P57" s="892"/>
      <c r="Q57" s="892"/>
      <c r="R57" s="892"/>
      <c r="S57" s="892"/>
      <c r="T57" s="892"/>
      <c r="U57" s="892"/>
      <c r="V57" s="892"/>
      <c r="W57" s="892"/>
      <c r="X57" s="892"/>
    </row>
    <row r="58" spans="1:24" s="77" customFormat="1" ht="22.95" customHeight="1" thickBot="1">
      <c r="A58" s="892"/>
      <c r="B58" s="824"/>
      <c r="C58" s="1326" t="s">
        <v>1030</v>
      </c>
      <c r="D58" s="1327"/>
      <c r="E58" s="148">
        <f>+E54+E56</f>
        <v>1357032.6199999999</v>
      </c>
      <c r="F58" s="825"/>
      <c r="G58" s="892"/>
      <c r="H58" s="892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 s="77" customFormat="1" ht="9" customHeight="1">
      <c r="A59" s="892"/>
      <c r="B59" s="824"/>
      <c r="C59" s="8"/>
      <c r="D59" s="571"/>
      <c r="E59" s="56"/>
      <c r="F59" s="825"/>
      <c r="G59" s="892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s="77" customFormat="1" ht="22.95" customHeight="1" thickBot="1">
      <c r="A60" s="892"/>
      <c r="B60" s="824"/>
      <c r="C60" s="572" t="s">
        <v>1032</v>
      </c>
      <c r="D60" s="573"/>
      <c r="E60" s="574">
        <f>+E35-E58</f>
        <v>-186934.32999999984</v>
      </c>
      <c r="F60" s="825"/>
      <c r="G60" s="89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 s="77" customFormat="1" ht="9" customHeight="1" thickTop="1">
      <c r="A61" s="892"/>
      <c r="B61" s="824"/>
      <c r="C61" s="8"/>
      <c r="D61" s="571"/>
      <c r="E61" s="56"/>
      <c r="F61" s="825"/>
      <c r="G61" s="892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 s="77" customFormat="1" ht="22.95" customHeight="1" thickBot="1">
      <c r="A62" s="892"/>
      <c r="B62" s="824"/>
      <c r="C62" s="572" t="s">
        <v>1033</v>
      </c>
      <c r="D62" s="573"/>
      <c r="E62" s="574">
        <f>+'_FC-90_DETALLE'!H163</f>
        <v>186934.32579999999</v>
      </c>
      <c r="F62" s="825"/>
      <c r="G62" s="892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 s="77" customFormat="1" ht="9" customHeight="1" thickTop="1">
      <c r="A63" s="892"/>
      <c r="B63" s="824"/>
      <c r="C63" s="8"/>
      <c r="D63" s="571"/>
      <c r="E63" s="56"/>
      <c r="F63" s="825"/>
      <c r="G63" s="892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 s="77" customFormat="1" ht="22.95" customHeight="1" thickBot="1">
      <c r="A64" s="892"/>
      <c r="B64" s="824"/>
      <c r="C64" s="572" t="s">
        <v>1034</v>
      </c>
      <c r="D64" s="573"/>
      <c r="E64" s="574">
        <f>+E60+E62</f>
        <v>-4.19999985024333E-3</v>
      </c>
      <c r="F64" s="825"/>
      <c r="G64" s="892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2:7" ht="22.95" customHeight="1" thickTop="1" thickBot="1">
      <c r="B65" s="49"/>
      <c r="C65" s="1154"/>
      <c r="D65" s="1154"/>
      <c r="E65" s="50"/>
      <c r="F65" s="51"/>
    </row>
    <row r="66" spans="2:7" ht="22.95" customHeight="1">
      <c r="G66" s="31" t="s">
        <v>179</v>
      </c>
    </row>
    <row r="67" spans="2:7" ht="13.2">
      <c r="C67" s="52" t="s">
        <v>52</v>
      </c>
      <c r="E67" s="29" t="s">
        <v>1035</v>
      </c>
    </row>
    <row r="68" spans="2:7" ht="13.2">
      <c r="C68" s="52" t="s">
        <v>54</v>
      </c>
    </row>
    <row r="69" spans="2:7" ht="13.2">
      <c r="C69" s="52" t="s">
        <v>55</v>
      </c>
    </row>
    <row r="70" spans="2:7" ht="13.2">
      <c r="C70" s="52" t="s">
        <v>56</v>
      </c>
    </row>
    <row r="71" spans="2:7" ht="13.2">
      <c r="C71" s="52" t="s">
        <v>57</v>
      </c>
    </row>
  </sheetData>
  <sheetProtection algorithmName="SHA-512" hashValue="EdjMaFZT8LCF/VrFlk+rOAocFRWZGUASbOK/lWbN2LJu24eIjNwkhoLRGNZyUBeP1q/HT5BR+ETIUXdCDQRLNA==" saltValue="Ea0BJ7ZTJ10qI+E17a+Gzg==" spinCount="100000" sheet="1" objects="1" scenarios="1"/>
  <mergeCells count="17">
    <mergeCell ref="C48:D48"/>
    <mergeCell ref="C52:D52"/>
    <mergeCell ref="C54:D54"/>
    <mergeCell ref="C65:D65"/>
    <mergeCell ref="C29:D29"/>
    <mergeCell ref="C31:D31"/>
    <mergeCell ref="C38:D38"/>
    <mergeCell ref="C44:D44"/>
    <mergeCell ref="C33:D33"/>
    <mergeCell ref="C35:D35"/>
    <mergeCell ref="C56:D56"/>
    <mergeCell ref="C58:D58"/>
    <mergeCell ref="C25:D25"/>
    <mergeCell ref="E6:E7"/>
    <mergeCell ref="D9:E9"/>
    <mergeCell ref="C14:D14"/>
    <mergeCell ref="C21:D21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58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>
    <tabColor rgb="FFFF0000"/>
  </sheetPr>
  <dimension ref="B1:M240"/>
  <sheetViews>
    <sheetView workbookViewId="0">
      <pane xSplit="4" ySplit="14" topLeftCell="E160" activePane="bottomRight" state="frozen"/>
      <selection pane="topRight" activeCell="K214" sqref="K214"/>
      <selection pane="bottomLeft" activeCell="K214" sqref="K214"/>
      <selection pane="bottomRight" activeCell="A164" sqref="A164:XFD199"/>
    </sheetView>
  </sheetViews>
  <sheetFormatPr baseColWidth="10" defaultColWidth="10.54296875" defaultRowHeight="22.95" customHeight="1"/>
  <cols>
    <col min="1" max="2" width="3.1796875" style="32" customWidth="1"/>
    <col min="3" max="3" width="13.1796875" style="32" customWidth="1"/>
    <col min="4" max="4" width="88.1796875" style="32" customWidth="1"/>
    <col min="5" max="7" width="21.54296875" style="358" customWidth="1"/>
    <col min="8" max="8" width="21.54296875" style="32" customWidth="1"/>
    <col min="9" max="9" width="3.453125" style="32" customWidth="1"/>
    <col min="10" max="10" width="10" style="32" customWidth="1"/>
    <col min="11" max="11" width="62" style="32" customWidth="1"/>
    <col min="12" max="16384" width="10.54296875" style="32"/>
  </cols>
  <sheetData>
    <row r="1" spans="2:11" ht="33" customHeight="1"/>
    <row r="2" spans="2:11" ht="28.95" customHeight="1">
      <c r="D2" s="318" t="str">
        <f>_GENERAL!D2</f>
        <v>Área de la Presidenta: Igualdad y Diversidad, Hacienda y Proyectos Estratégicos</v>
      </c>
      <c r="E2" s="360"/>
      <c r="F2" s="360"/>
      <c r="G2" s="360"/>
    </row>
    <row r="3" spans="2:11" ht="28.95" customHeight="1">
      <c r="D3" s="318" t="str">
        <f>_GENERAL!D3</f>
        <v>Dirección Insular de Hacienda</v>
      </c>
      <c r="E3" s="360"/>
      <c r="F3" s="360"/>
      <c r="G3" s="360"/>
    </row>
    <row r="4" spans="2:11" ht="18" customHeight="1" thickBot="1"/>
    <row r="5" spans="2:11" ht="13.2">
      <c r="B5" s="361"/>
      <c r="C5" s="35"/>
      <c r="D5" s="35"/>
      <c r="E5" s="362"/>
      <c r="F5" s="362"/>
      <c r="G5" s="362"/>
      <c r="H5" s="35"/>
      <c r="I5" s="363"/>
    </row>
    <row r="6" spans="2:11" ht="15.6">
      <c r="B6" s="364"/>
      <c r="C6" s="365" t="s">
        <v>2</v>
      </c>
      <c r="H6" s="1333">
        <f>ejercicio</f>
        <v>2025</v>
      </c>
      <c r="I6" s="366"/>
    </row>
    <row r="7" spans="2:11" ht="15.6">
      <c r="B7" s="364"/>
      <c r="C7" s="365" t="s">
        <v>3</v>
      </c>
      <c r="H7" s="1333"/>
      <c r="I7" s="366"/>
    </row>
    <row r="8" spans="2:11" ht="13.2">
      <c r="B8" s="364"/>
      <c r="C8" s="367"/>
      <c r="H8" s="40"/>
      <c r="I8" s="366"/>
    </row>
    <row r="9" spans="2:11" s="371" customFormat="1" ht="22.2" customHeight="1">
      <c r="B9" s="368"/>
      <c r="C9" s="369" t="s">
        <v>59</v>
      </c>
      <c r="D9" s="1334" t="str">
        <f>Entidad</f>
        <v>Fundación Canaria TENERIFE RURAL</v>
      </c>
      <c r="E9" s="1334"/>
      <c r="F9" s="1334"/>
      <c r="G9" s="1334"/>
      <c r="H9" s="1334"/>
      <c r="I9" s="370"/>
    </row>
    <row r="10" spans="2:11" ht="13.2">
      <c r="B10" s="364"/>
      <c r="I10" s="366"/>
    </row>
    <row r="11" spans="2:11" s="30" customFormat="1" ht="27" customHeight="1">
      <c r="B11" s="372"/>
      <c r="C11" s="43" t="s">
        <v>1003</v>
      </c>
      <c r="D11" s="43"/>
      <c r="E11" s="373"/>
      <c r="F11" s="373"/>
      <c r="G11" s="373"/>
      <c r="H11" s="43"/>
      <c r="I11" s="374"/>
    </row>
    <row r="12" spans="2:11" s="30" customFormat="1" ht="17.399999999999999">
      <c r="B12" s="372"/>
      <c r="C12" s="659" t="str">
        <f ca="1">IF(_GENERAL!D15&lt;&gt;"Íntegra","No aplica a entidades con participación del Cabildo no íntegra","")</f>
        <v>No aplica a entidades con participación del Cabildo no íntegra</v>
      </c>
      <c r="D12" s="659"/>
      <c r="E12" s="360"/>
      <c r="F12" s="360"/>
      <c r="G12" s="360"/>
      <c r="I12" s="374"/>
    </row>
    <row r="13" spans="2:11" ht="17.399999999999999">
      <c r="B13" s="375"/>
      <c r="C13" s="376"/>
      <c r="D13" s="376"/>
      <c r="E13" s="360"/>
      <c r="F13" s="360"/>
      <c r="G13" s="360"/>
      <c r="H13" s="30"/>
      <c r="I13" s="366"/>
    </row>
    <row r="14" spans="2:11" s="380" customFormat="1" ht="22.8">
      <c r="B14" s="377"/>
      <c r="C14" s="1335" t="s">
        <v>1004</v>
      </c>
      <c r="D14" s="1336"/>
      <c r="E14" s="378" t="s">
        <v>1036</v>
      </c>
      <c r="F14" s="378" t="s">
        <v>1037</v>
      </c>
      <c r="G14" s="378" t="s">
        <v>1038</v>
      </c>
      <c r="H14" s="210" t="s">
        <v>1039</v>
      </c>
      <c r="I14" s="379"/>
      <c r="K14" s="210" t="s">
        <v>1040</v>
      </c>
    </row>
    <row r="15" spans="2:11" ht="17.399999999999999">
      <c r="B15" s="375"/>
      <c r="C15" s="381"/>
      <c r="D15" s="376"/>
      <c r="E15" s="360"/>
      <c r="F15" s="360"/>
      <c r="G15" s="360"/>
      <c r="H15" s="30"/>
      <c r="I15" s="366"/>
    </row>
    <row r="16" spans="2:11" s="387" customFormat="1" ht="17.399999999999999">
      <c r="B16" s="382"/>
      <c r="C16" s="383" t="s">
        <v>403</v>
      </c>
      <c r="D16" s="129" t="s">
        <v>1005</v>
      </c>
      <c r="E16" s="384">
        <v>0</v>
      </c>
      <c r="F16" s="384">
        <v>0</v>
      </c>
      <c r="G16" s="384">
        <v>0</v>
      </c>
      <c r="H16" s="385">
        <f>SUM(E16:G16)</f>
        <v>0</v>
      </c>
      <c r="I16" s="386"/>
      <c r="K16" s="497"/>
    </row>
    <row r="17" spans="2:12" s="387" customFormat="1" ht="17.399999999999999">
      <c r="B17" s="382"/>
      <c r="C17" s="383" t="s">
        <v>405</v>
      </c>
      <c r="D17" s="129" t="s">
        <v>1006</v>
      </c>
      <c r="E17" s="384">
        <v>0</v>
      </c>
      <c r="F17" s="384">
        <v>0</v>
      </c>
      <c r="G17" s="384">
        <v>0</v>
      </c>
      <c r="H17" s="385">
        <f>SUM(E17:G17)</f>
        <v>0</v>
      </c>
      <c r="I17" s="386"/>
      <c r="K17" s="497"/>
    </row>
    <row r="18" spans="2:12" s="387" customFormat="1" ht="17.399999999999999">
      <c r="B18" s="382"/>
      <c r="C18" s="383" t="s">
        <v>407</v>
      </c>
      <c r="D18" s="129" t="s">
        <v>1007</v>
      </c>
      <c r="E18" s="384">
        <f>SUM(E19:E29)</f>
        <v>552098.82999999996</v>
      </c>
      <c r="F18" s="384">
        <f>SUM(F19:F29)</f>
        <v>0</v>
      </c>
      <c r="G18" s="384">
        <f>SUM(G19:G29)</f>
        <v>0</v>
      </c>
      <c r="H18" s="384">
        <f>SUM(H19:H29)</f>
        <v>552098.82999999996</v>
      </c>
      <c r="I18" s="386"/>
      <c r="K18" s="497"/>
    </row>
    <row r="19" spans="2:12" s="103" customFormat="1" ht="17.399999999999999" hidden="1">
      <c r="B19" s="375"/>
      <c r="C19" s="388" t="s">
        <v>334</v>
      </c>
      <c r="D19" s="389" t="s">
        <v>1041</v>
      </c>
      <c r="E19" s="569">
        <f>'FC-3_CPyG'!H22</f>
        <v>482700</v>
      </c>
      <c r="F19" s="391"/>
      <c r="G19" s="483"/>
      <c r="H19" s="392">
        <f t="shared" ref="H19:H29" si="0">SUM(E19:G19)</f>
        <v>482700</v>
      </c>
      <c r="I19" s="393"/>
      <c r="K19" s="497"/>
    </row>
    <row r="20" spans="2:12" s="103" customFormat="1" ht="17.399999999999999" hidden="1">
      <c r="B20" s="375"/>
      <c r="C20" s="388" t="s">
        <v>334</v>
      </c>
      <c r="D20" s="389" t="s">
        <v>1042</v>
      </c>
      <c r="E20" s="569">
        <f>'FC-3_CPyG'!H17</f>
        <v>1780</v>
      </c>
      <c r="F20" s="391"/>
      <c r="G20" s="483"/>
      <c r="H20" s="392">
        <f t="shared" si="0"/>
        <v>1780</v>
      </c>
      <c r="I20" s="393"/>
      <c r="K20" s="497"/>
    </row>
    <row r="21" spans="2:12" s="103" customFormat="1" ht="17.399999999999999" hidden="1">
      <c r="B21" s="375"/>
      <c r="C21" s="388" t="s">
        <v>334</v>
      </c>
      <c r="D21" s="389" t="s">
        <v>240</v>
      </c>
      <c r="E21" s="569">
        <f>'FC-3_CPyG'!H18</f>
        <v>0</v>
      </c>
      <c r="F21" s="391"/>
      <c r="G21" s="483"/>
      <c r="H21" s="392">
        <f t="shared" si="0"/>
        <v>0</v>
      </c>
      <c r="I21" s="393"/>
      <c r="K21" s="497"/>
    </row>
    <row r="22" spans="2:12" s="103" customFormat="1" ht="17.399999999999999" hidden="1">
      <c r="B22" s="375"/>
      <c r="C22" s="388" t="s">
        <v>334</v>
      </c>
      <c r="D22" s="389" t="s">
        <v>242</v>
      </c>
      <c r="E22" s="569">
        <f>'FC-3_CPyG'!H19</f>
        <v>40868.83</v>
      </c>
      <c r="F22" s="391"/>
      <c r="G22" s="483"/>
      <c r="H22" s="392">
        <f t="shared" si="0"/>
        <v>40868.83</v>
      </c>
      <c r="I22" s="393"/>
      <c r="K22" s="497"/>
    </row>
    <row r="23" spans="2:12" s="103" customFormat="1" ht="17.399999999999999" hidden="1">
      <c r="B23" s="375"/>
      <c r="C23" s="388" t="s">
        <v>334</v>
      </c>
      <c r="D23" s="389" t="s">
        <v>246</v>
      </c>
      <c r="E23" s="569">
        <f>'FC-3_CPyG'!H21</f>
        <v>0</v>
      </c>
      <c r="F23" s="391"/>
      <c r="G23" s="483"/>
      <c r="H23" s="392">
        <f t="shared" si="0"/>
        <v>0</v>
      </c>
      <c r="I23" s="393"/>
      <c r="K23" s="497"/>
    </row>
    <row r="24" spans="2:12" s="103" customFormat="1" ht="17.399999999999999" hidden="1">
      <c r="B24" s="375"/>
      <c r="C24" s="388" t="s">
        <v>398</v>
      </c>
      <c r="D24" s="389" t="s">
        <v>1043</v>
      </c>
      <c r="E24" s="390">
        <f>'FC-3_1_INF_ADIC_CPyG'!E78</f>
        <v>0</v>
      </c>
      <c r="F24" s="391"/>
      <c r="G24" s="483"/>
      <c r="H24" s="392">
        <f t="shared" si="0"/>
        <v>0</v>
      </c>
      <c r="I24" s="393"/>
      <c r="K24" s="497"/>
    </row>
    <row r="25" spans="2:12" s="103" customFormat="1" ht="17.399999999999999" hidden="1">
      <c r="B25" s="375"/>
      <c r="C25" s="388" t="s">
        <v>398</v>
      </c>
      <c r="D25" s="389" t="s">
        <v>1044</v>
      </c>
      <c r="E25" s="390">
        <f>'FC-3_1_INF_ADIC_CPyG'!E80</f>
        <v>26750</v>
      </c>
      <c r="F25" s="391"/>
      <c r="G25" s="483"/>
      <c r="H25" s="392">
        <f t="shared" si="0"/>
        <v>26750</v>
      </c>
      <c r="I25" s="393"/>
      <c r="K25" s="497"/>
    </row>
    <row r="26" spans="2:12" s="103" customFormat="1" ht="17.399999999999999" hidden="1">
      <c r="B26" s="375"/>
      <c r="C26" s="388" t="s">
        <v>398</v>
      </c>
      <c r="D26" s="389" t="s">
        <v>1045</v>
      </c>
      <c r="E26" s="390">
        <f>'FC-3_1_INF_ADIC_CPyG'!E52</f>
        <v>0</v>
      </c>
      <c r="F26" s="391"/>
      <c r="G26" s="483"/>
      <c r="H26" s="392">
        <f t="shared" si="0"/>
        <v>0</v>
      </c>
      <c r="I26" s="393"/>
      <c r="K26" s="497"/>
    </row>
    <row r="27" spans="2:12" s="103" customFormat="1" ht="17.399999999999999" hidden="1">
      <c r="B27" s="375"/>
      <c r="C27" s="388"/>
      <c r="D27" s="389" t="s">
        <v>1046</v>
      </c>
      <c r="E27" s="391"/>
      <c r="F27" s="391"/>
      <c r="G27" s="483"/>
      <c r="H27" s="392">
        <f t="shared" si="0"/>
        <v>0</v>
      </c>
      <c r="I27" s="393"/>
      <c r="K27" s="497"/>
      <c r="L27" s="394" t="s">
        <v>1047</v>
      </c>
    </row>
    <row r="28" spans="2:12" s="103" customFormat="1" ht="17.399999999999999" hidden="1">
      <c r="B28" s="375"/>
      <c r="C28" s="492"/>
      <c r="D28" s="501"/>
      <c r="E28" s="391"/>
      <c r="F28" s="391"/>
      <c r="G28" s="483"/>
      <c r="H28" s="392">
        <f t="shared" si="0"/>
        <v>0</v>
      </c>
      <c r="I28" s="393"/>
      <c r="K28" s="497"/>
      <c r="L28" s="394"/>
    </row>
    <row r="29" spans="2:12" s="103" customFormat="1" ht="17.399999999999999">
      <c r="B29" s="375"/>
      <c r="C29" s="492"/>
      <c r="D29" s="501"/>
      <c r="E29" s="391"/>
      <c r="F29" s="391"/>
      <c r="G29" s="483"/>
      <c r="H29" s="392">
        <f t="shared" si="0"/>
        <v>0</v>
      </c>
      <c r="I29" s="393"/>
      <c r="K29" s="497"/>
      <c r="L29" s="394"/>
    </row>
    <row r="30" spans="2:12" s="387" customFormat="1" ht="17.399999999999999">
      <c r="B30" s="382"/>
      <c r="C30" s="383" t="s">
        <v>409</v>
      </c>
      <c r="D30" s="129" t="s">
        <v>1008</v>
      </c>
      <c r="E30" s="384">
        <f>SUM(E31:E34)</f>
        <v>762534.33</v>
      </c>
      <c r="F30" s="384">
        <f>SUM(F31:F34)</f>
        <v>-337534.32999999996</v>
      </c>
      <c r="G30" s="384">
        <f>SUM(G31:G34)</f>
        <v>0</v>
      </c>
      <c r="H30" s="384">
        <f>SUM(H31:H34)</f>
        <v>425000</v>
      </c>
      <c r="I30" s="386"/>
      <c r="K30" s="497"/>
    </row>
    <row r="31" spans="2:12" s="103" customFormat="1" ht="17.399999999999999" hidden="1">
      <c r="B31" s="375"/>
      <c r="C31" s="388" t="s">
        <v>334</v>
      </c>
      <c r="D31" s="389" t="s">
        <v>1048</v>
      </c>
      <c r="E31" s="390">
        <f>'FC-3_CPyG'!H20</f>
        <v>762534.33</v>
      </c>
      <c r="F31" s="391"/>
      <c r="G31" s="483"/>
      <c r="H31" s="392">
        <f>SUM(E31:G31)</f>
        <v>762534.33</v>
      </c>
      <c r="I31" s="393"/>
      <c r="K31" s="497"/>
    </row>
    <row r="32" spans="2:12" s="103" customFormat="1" ht="17.399999999999999" hidden="1">
      <c r="B32" s="375"/>
      <c r="C32" s="492" t="s">
        <v>693</v>
      </c>
      <c r="D32" s="404" t="s">
        <v>1049</v>
      </c>
      <c r="E32" s="391"/>
      <c r="F32" s="405">
        <f>+'FC-9_1_SUBV_REINT'!M62</f>
        <v>-337534.32999999996</v>
      </c>
      <c r="G32" s="483"/>
      <c r="H32" s="392">
        <f>SUM(E32:G32)</f>
        <v>-337534.32999999996</v>
      </c>
      <c r="I32" s="393"/>
      <c r="K32" s="497"/>
      <c r="L32" s="394"/>
    </row>
    <row r="33" spans="2:12" s="103" customFormat="1" ht="17.399999999999999" hidden="1">
      <c r="B33" s="375"/>
      <c r="C33" s="492"/>
      <c r="D33" s="501"/>
      <c r="E33" s="391"/>
      <c r="F33" s="391"/>
      <c r="G33" s="483"/>
      <c r="H33" s="392">
        <f>SUM(E33:G33)</f>
        <v>0</v>
      </c>
      <c r="I33" s="393"/>
      <c r="K33" s="497"/>
      <c r="L33" s="394"/>
    </row>
    <row r="34" spans="2:12" s="103" customFormat="1" ht="17.399999999999999">
      <c r="B34" s="375"/>
      <c r="C34" s="494"/>
      <c r="D34" s="502"/>
      <c r="E34" s="391"/>
      <c r="F34" s="391"/>
      <c r="G34" s="484"/>
      <c r="H34" s="392">
        <f>SUM(E34:G34)</f>
        <v>0</v>
      </c>
      <c r="I34" s="393"/>
      <c r="K34" s="497"/>
    </row>
    <row r="35" spans="2:12" s="387" customFormat="1" ht="17.399999999999999">
      <c r="B35" s="382"/>
      <c r="C35" s="383" t="s">
        <v>411</v>
      </c>
      <c r="D35" s="129" t="s">
        <v>1009</v>
      </c>
      <c r="E35" s="384">
        <f>SUM(E36:E42)</f>
        <v>28200</v>
      </c>
      <c r="F35" s="384">
        <f>SUM(F36:F42)</f>
        <v>0</v>
      </c>
      <c r="G35" s="384">
        <f>SUM(G36:G42)</f>
        <v>0</v>
      </c>
      <c r="H35" s="384">
        <f>SUM(H36:H42)</f>
        <v>28200</v>
      </c>
      <c r="I35" s="386"/>
      <c r="K35" s="497"/>
    </row>
    <row r="36" spans="2:12" s="103" customFormat="1" ht="17.399999999999999" hidden="1">
      <c r="B36" s="375"/>
      <c r="C36" s="395" t="s">
        <v>398</v>
      </c>
      <c r="D36" s="396" t="s">
        <v>1050</v>
      </c>
      <c r="E36" s="397">
        <f>'FC-3_1_INF_ADIC_CPyG'!E79</f>
        <v>28200</v>
      </c>
      <c r="F36" s="391"/>
      <c r="G36" s="485"/>
      <c r="H36" s="392">
        <f>SUM(E36:G36)</f>
        <v>28200</v>
      </c>
      <c r="I36" s="393"/>
      <c r="K36" s="497"/>
    </row>
    <row r="37" spans="2:12" s="365" customFormat="1" ht="17.399999999999999" hidden="1">
      <c r="B37" s="398"/>
      <c r="C37" s="388" t="s">
        <v>334</v>
      </c>
      <c r="D37" s="389" t="s">
        <v>286</v>
      </c>
      <c r="E37" s="390">
        <f>'FC-3_CPyG'!H47</f>
        <v>0</v>
      </c>
      <c r="F37" s="391"/>
      <c r="G37" s="483"/>
      <c r="H37" s="392">
        <f t="shared" ref="H37:H42" si="1">SUM(E37:G37)</f>
        <v>0</v>
      </c>
      <c r="I37" s="399"/>
      <c r="K37" s="497"/>
    </row>
    <row r="38" spans="2:12" s="365" customFormat="1" ht="17.399999999999999" hidden="1">
      <c r="B38" s="398"/>
      <c r="C38" s="388"/>
      <c r="D38" s="389"/>
      <c r="E38" s="391"/>
      <c r="F38" s="391"/>
      <c r="G38" s="483"/>
      <c r="H38" s="392">
        <f t="shared" si="1"/>
        <v>0</v>
      </c>
      <c r="I38" s="399"/>
      <c r="K38" s="497"/>
    </row>
    <row r="39" spans="2:12" s="365" customFormat="1" ht="17.399999999999999" hidden="1">
      <c r="B39" s="398"/>
      <c r="C39" s="388"/>
      <c r="D39" s="389"/>
      <c r="E39" s="391"/>
      <c r="F39" s="391"/>
      <c r="G39" s="483"/>
      <c r="H39" s="392">
        <f t="shared" si="1"/>
        <v>0</v>
      </c>
      <c r="I39" s="399"/>
      <c r="K39" s="497"/>
    </row>
    <row r="40" spans="2:12" s="365" customFormat="1" ht="17.399999999999999" hidden="1">
      <c r="B40" s="398"/>
      <c r="C40" s="388"/>
      <c r="D40" s="389"/>
      <c r="E40" s="391"/>
      <c r="F40" s="391"/>
      <c r="G40" s="483"/>
      <c r="H40" s="392">
        <f t="shared" si="1"/>
        <v>0</v>
      </c>
      <c r="I40" s="399"/>
      <c r="K40" s="497"/>
    </row>
    <row r="41" spans="2:12" s="365" customFormat="1" ht="17.399999999999999" hidden="1">
      <c r="B41" s="398"/>
      <c r="C41" s="492"/>
      <c r="D41" s="501"/>
      <c r="E41" s="391"/>
      <c r="F41" s="391"/>
      <c r="G41" s="483"/>
      <c r="H41" s="392">
        <f t="shared" si="1"/>
        <v>0</v>
      </c>
      <c r="I41" s="399"/>
      <c r="K41" s="497"/>
    </row>
    <row r="42" spans="2:12" s="365" customFormat="1" ht="17.399999999999999">
      <c r="B42" s="398"/>
      <c r="C42" s="494"/>
      <c r="D42" s="503"/>
      <c r="E42" s="484"/>
      <c r="F42" s="484"/>
      <c r="G42" s="484"/>
      <c r="H42" s="392">
        <f t="shared" si="1"/>
        <v>0</v>
      </c>
      <c r="I42" s="399"/>
      <c r="K42" s="497"/>
    </row>
    <row r="43" spans="2:12" s="403" customFormat="1" ht="17.399999999999999">
      <c r="B43" s="400"/>
      <c r="C43" s="1337" t="s">
        <v>1010</v>
      </c>
      <c r="D43" s="1338"/>
      <c r="E43" s="401">
        <f>E16+E17+E18+E30+E35</f>
        <v>1342833.16</v>
      </c>
      <c r="F43" s="401">
        <f>F16+F17+F18+F30+F35</f>
        <v>-337534.32999999996</v>
      </c>
      <c r="G43" s="401">
        <f>G16+G17+G18+G30+G35</f>
        <v>0</v>
      </c>
      <c r="H43" s="401">
        <f>H16+H17+H18+H30+H35</f>
        <v>1005298.83</v>
      </c>
      <c r="I43" s="402"/>
      <c r="K43" s="497"/>
    </row>
    <row r="44" spans="2:12" s="371" customFormat="1" ht="15.6">
      <c r="B44" s="368"/>
      <c r="C44" s="96"/>
      <c r="D44" s="376"/>
      <c r="E44" s="360"/>
      <c r="F44" s="360"/>
      <c r="G44" s="360"/>
      <c r="H44" s="56"/>
      <c r="I44" s="370"/>
      <c r="K44" s="498"/>
    </row>
    <row r="45" spans="2:12" s="365" customFormat="1" ht="17.399999999999999">
      <c r="B45" s="398"/>
      <c r="C45" s="383" t="s">
        <v>413</v>
      </c>
      <c r="D45" s="129" t="s">
        <v>1011</v>
      </c>
      <c r="E45" s="384">
        <f>SUM(E46:E48)</f>
        <v>0</v>
      </c>
      <c r="F45" s="384">
        <f>SUM(F46:F48)</f>
        <v>0</v>
      </c>
      <c r="G45" s="384">
        <f>SUM(G46:G48)</f>
        <v>0</v>
      </c>
      <c r="H45" s="384">
        <f>SUM(H46:H48)</f>
        <v>0</v>
      </c>
      <c r="I45" s="399"/>
      <c r="K45" s="497"/>
    </row>
    <row r="46" spans="2:12" s="103" customFormat="1" ht="17.399999999999999" hidden="1">
      <c r="B46" s="375"/>
      <c r="C46" s="388" t="s">
        <v>532</v>
      </c>
      <c r="D46" s="404" t="s">
        <v>1051</v>
      </c>
      <c r="E46" s="391"/>
      <c r="F46" s="405">
        <f>-'FC-7_INF'!K31</f>
        <v>0</v>
      </c>
      <c r="G46" s="485"/>
      <c r="H46" s="392">
        <f>SUM(E46:G46)</f>
        <v>0</v>
      </c>
      <c r="I46" s="393"/>
      <c r="K46" s="497"/>
      <c r="L46" s="406" t="s">
        <v>1052</v>
      </c>
    </row>
    <row r="47" spans="2:12" s="103" customFormat="1" ht="17.399999999999999" hidden="1">
      <c r="B47" s="375"/>
      <c r="C47" s="492"/>
      <c r="D47" s="493"/>
      <c r="E47" s="391"/>
      <c r="F47" s="391"/>
      <c r="G47" s="483"/>
      <c r="H47" s="392">
        <f>SUM(E47:G47)</f>
        <v>0</v>
      </c>
      <c r="I47" s="393"/>
      <c r="K47" s="497"/>
      <c r="L47" s="365"/>
    </row>
    <row r="48" spans="2:12" s="103" customFormat="1" ht="17.399999999999999" hidden="1">
      <c r="B48" s="375"/>
      <c r="C48" s="494"/>
      <c r="D48" s="493"/>
      <c r="E48" s="391"/>
      <c r="F48" s="391"/>
      <c r="G48" s="484"/>
      <c r="H48" s="392">
        <f>SUM(E48:G48)</f>
        <v>0</v>
      </c>
      <c r="I48" s="393"/>
      <c r="K48" s="497"/>
      <c r="L48" s="365"/>
    </row>
    <row r="49" spans="2:13" s="365" customFormat="1" ht="17.399999999999999">
      <c r="B49" s="398"/>
      <c r="C49" s="383" t="s">
        <v>415</v>
      </c>
      <c r="D49" s="129" t="s">
        <v>1012</v>
      </c>
      <c r="E49" s="384">
        <f>SUM(E50:E53)</f>
        <v>0</v>
      </c>
      <c r="F49" s="384">
        <f>SUM(F50:F53)</f>
        <v>0</v>
      </c>
      <c r="G49" s="384">
        <f>SUM(G50:G53)</f>
        <v>0</v>
      </c>
      <c r="H49" s="384">
        <f>SUM(H50:H53)</f>
        <v>0</v>
      </c>
      <c r="I49" s="399"/>
      <c r="K49" s="497"/>
    </row>
    <row r="50" spans="2:13" s="410" customFormat="1" ht="17.399999999999999" hidden="1">
      <c r="B50" s="407"/>
      <c r="C50" s="388" t="s">
        <v>636</v>
      </c>
      <c r="D50" s="404" t="s">
        <v>1053</v>
      </c>
      <c r="E50" s="408"/>
      <c r="F50" s="405">
        <f>'FC-9_TRANS_SUBV'!J41</f>
        <v>0</v>
      </c>
      <c r="G50" s="332"/>
      <c r="H50" s="392">
        <f>F50+E50+G50</f>
        <v>0</v>
      </c>
      <c r="I50" s="409"/>
      <c r="K50" s="497"/>
    </row>
    <row r="51" spans="2:13" s="365" customFormat="1" ht="17.399999999999999" hidden="1">
      <c r="B51" s="398"/>
      <c r="C51" s="388" t="s">
        <v>636</v>
      </c>
      <c r="D51" s="404" t="s">
        <v>1054</v>
      </c>
      <c r="E51" s="408"/>
      <c r="F51" s="405">
        <f>'FC-9_TRANS_SUBV'!H97</f>
        <v>0</v>
      </c>
      <c r="G51" s="332"/>
      <c r="H51" s="392">
        <f>F51+E51+G51</f>
        <v>0</v>
      </c>
      <c r="I51" s="399"/>
      <c r="K51" s="497"/>
    </row>
    <row r="52" spans="2:13" s="365" customFormat="1" ht="17.399999999999999" hidden="1">
      <c r="B52" s="398"/>
      <c r="C52" s="492" t="s">
        <v>693</v>
      </c>
      <c r="D52" s="404" t="s">
        <v>1055</v>
      </c>
      <c r="E52" s="391"/>
      <c r="F52" s="405">
        <f>'FC-9_1_SUBV_REINT'!M65</f>
        <v>0</v>
      </c>
      <c r="G52" s="483"/>
      <c r="H52" s="392">
        <f>SUM(E52:G52)</f>
        <v>0</v>
      </c>
      <c r="I52" s="399"/>
      <c r="K52" s="497"/>
      <c r="L52" s="394"/>
    </row>
    <row r="53" spans="2:13" s="365" customFormat="1" ht="17.399999999999999">
      <c r="B53" s="398"/>
      <c r="C53" s="494"/>
      <c r="D53" s="503"/>
      <c r="E53" s="484"/>
      <c r="F53" s="484"/>
      <c r="G53" s="484"/>
      <c r="H53" s="392">
        <f>SUM(E53:G53)</f>
        <v>0</v>
      </c>
      <c r="I53" s="399"/>
      <c r="K53" s="497"/>
      <c r="L53" s="394"/>
    </row>
    <row r="54" spans="2:13" s="58" customFormat="1" ht="17.399999999999999">
      <c r="B54" s="411"/>
      <c r="C54" s="1331" t="s">
        <v>1013</v>
      </c>
      <c r="D54" s="1332"/>
      <c r="E54" s="378">
        <f>E45+E49</f>
        <v>0</v>
      </c>
      <c r="F54" s="378">
        <f>F45+F49</f>
        <v>0</v>
      </c>
      <c r="G54" s="378">
        <f t="shared" ref="G54:H54" si="2">G45+G49</f>
        <v>0</v>
      </c>
      <c r="H54" s="378">
        <f t="shared" si="2"/>
        <v>0</v>
      </c>
      <c r="I54" s="412"/>
      <c r="K54" s="497"/>
    </row>
    <row r="55" spans="2:13" s="371" customFormat="1" ht="15.6">
      <c r="B55" s="368"/>
      <c r="C55" s="96"/>
      <c r="D55" s="376"/>
      <c r="E55" s="360"/>
      <c r="F55" s="360"/>
      <c r="G55" s="360"/>
      <c r="H55" s="56"/>
      <c r="I55" s="370"/>
      <c r="K55" s="498"/>
    </row>
    <row r="56" spans="2:13" s="365" customFormat="1" ht="17.399999999999999">
      <c r="B56" s="398"/>
      <c r="C56" s="413" t="s">
        <v>1014</v>
      </c>
      <c r="D56" s="231" t="s">
        <v>1015</v>
      </c>
      <c r="E56" s="414">
        <f>SUM(E57:E62)</f>
        <v>0</v>
      </c>
      <c r="F56" s="414">
        <f>SUM(F57:F62)</f>
        <v>0</v>
      </c>
      <c r="G56" s="414">
        <f>SUM(G57:G62)</f>
        <v>0</v>
      </c>
      <c r="H56" s="414">
        <f>SUM(H57:H62)</f>
        <v>0</v>
      </c>
      <c r="I56" s="399"/>
      <c r="K56" s="497"/>
    </row>
    <row r="57" spans="2:13" s="103" customFormat="1" ht="17.399999999999999" hidden="1">
      <c r="B57" s="375"/>
      <c r="C57" s="388" t="s">
        <v>562</v>
      </c>
      <c r="D57" s="404" t="s">
        <v>1056</v>
      </c>
      <c r="E57" s="415"/>
      <c r="F57" s="405">
        <f>-'FC-8_INV_FINANCIERAS'!H25</f>
        <v>0</v>
      </c>
      <c r="G57" s="332"/>
      <c r="H57" s="392">
        <f>SUM(E57:G57)</f>
        <v>0</v>
      </c>
      <c r="I57" s="393"/>
      <c r="K57" s="497"/>
      <c r="L57" s="406" t="s">
        <v>1052</v>
      </c>
      <c r="M57" s="410"/>
    </row>
    <row r="58" spans="2:13" s="410" customFormat="1" ht="17.399999999999999" hidden="1">
      <c r="B58" s="407"/>
      <c r="C58" s="388" t="s">
        <v>562</v>
      </c>
      <c r="D58" s="404" t="s">
        <v>1057</v>
      </c>
      <c r="E58" s="408"/>
      <c r="F58" s="405">
        <f>-'FC-8_INV_FINANCIERAS'!H34</f>
        <v>0</v>
      </c>
      <c r="G58" s="486"/>
      <c r="H58" s="392">
        <f t="shared" ref="H58:H69" si="3">SUM(E58:G58)</f>
        <v>0</v>
      </c>
      <c r="I58" s="409"/>
      <c r="K58" s="497"/>
      <c r="L58" s="406" t="s">
        <v>1052</v>
      </c>
    </row>
    <row r="59" spans="2:13" s="410" customFormat="1" ht="17.399999999999999" hidden="1">
      <c r="B59" s="407"/>
      <c r="C59" s="388" t="s">
        <v>562</v>
      </c>
      <c r="D59" s="404" t="s">
        <v>1058</v>
      </c>
      <c r="E59" s="408"/>
      <c r="F59" s="405">
        <f>-'FC-8_INV_FINANCIERAS'!H49</f>
        <v>0</v>
      </c>
      <c r="G59" s="333"/>
      <c r="H59" s="392">
        <f t="shared" si="3"/>
        <v>0</v>
      </c>
      <c r="I59" s="409"/>
      <c r="K59" s="497"/>
      <c r="L59" s="406" t="s">
        <v>1052</v>
      </c>
    </row>
    <row r="60" spans="2:13" s="410" customFormat="1" ht="17.399999999999999" hidden="1">
      <c r="B60" s="407"/>
      <c r="C60" s="388" t="s">
        <v>562</v>
      </c>
      <c r="D60" s="404" t="s">
        <v>1059</v>
      </c>
      <c r="E60" s="408"/>
      <c r="F60" s="405">
        <f>-'FC-8_INV_FINANCIERAS'!H58</f>
        <v>0</v>
      </c>
      <c r="G60" s="333"/>
      <c r="H60" s="392">
        <f t="shared" si="3"/>
        <v>0</v>
      </c>
      <c r="I60" s="409"/>
      <c r="K60" s="497"/>
      <c r="L60" s="406" t="s">
        <v>1052</v>
      </c>
    </row>
    <row r="61" spans="2:13" s="410" customFormat="1" ht="17.399999999999999" hidden="1">
      <c r="B61" s="407"/>
      <c r="C61" s="492"/>
      <c r="D61" s="501"/>
      <c r="E61" s="391"/>
      <c r="F61" s="391"/>
      <c r="G61" s="483"/>
      <c r="H61" s="392">
        <f t="shared" si="3"/>
        <v>0</v>
      </c>
      <c r="I61" s="409"/>
      <c r="K61" s="497"/>
      <c r="L61" s="417"/>
    </row>
    <row r="62" spans="2:13" s="410" customFormat="1" ht="17.399999999999999" hidden="1">
      <c r="B62" s="407"/>
      <c r="C62" s="494"/>
      <c r="D62" s="503"/>
      <c r="E62" s="391"/>
      <c r="F62" s="391"/>
      <c r="G62" s="484"/>
      <c r="H62" s="392">
        <f>SUM(E62:G62)</f>
        <v>0</v>
      </c>
      <c r="I62" s="409"/>
      <c r="K62" s="497"/>
      <c r="L62" s="417"/>
    </row>
    <row r="63" spans="2:13" s="365" customFormat="1" ht="17.399999999999999">
      <c r="B63" s="398"/>
      <c r="C63" s="418" t="s">
        <v>1016</v>
      </c>
      <c r="D63" s="419" t="s">
        <v>1017</v>
      </c>
      <c r="E63" s="420">
        <f>SUM(E64:E71)</f>
        <v>0</v>
      </c>
      <c r="F63" s="420">
        <f>SUM(F64:F71)</f>
        <v>160600</v>
      </c>
      <c r="G63" s="420">
        <f>SUM(G64:G71)</f>
        <v>0</v>
      </c>
      <c r="H63" s="420">
        <f>SUM(H64:H71)</f>
        <v>160600</v>
      </c>
      <c r="I63" s="399"/>
      <c r="K63" s="497"/>
    </row>
    <row r="64" spans="2:13" s="410" customFormat="1" ht="17.399999999999999" hidden="1">
      <c r="B64" s="407"/>
      <c r="C64" s="388" t="s">
        <v>693</v>
      </c>
      <c r="D64" s="404" t="s">
        <v>1060</v>
      </c>
      <c r="E64" s="408"/>
      <c r="F64" s="405">
        <f>'FC-10_DEUDAS'!M28</f>
        <v>0</v>
      </c>
      <c r="G64" s="487"/>
      <c r="H64" s="392">
        <f t="shared" si="3"/>
        <v>0</v>
      </c>
      <c r="I64" s="409"/>
      <c r="K64" s="497"/>
    </row>
    <row r="65" spans="2:12" s="410" customFormat="1" ht="17.399999999999999" hidden="1">
      <c r="B65" s="407"/>
      <c r="C65" s="388"/>
      <c r="D65" s="404" t="s">
        <v>1061</v>
      </c>
      <c r="E65" s="408"/>
      <c r="F65" s="422"/>
      <c r="G65" s="487"/>
      <c r="H65" s="392">
        <f t="shared" si="3"/>
        <v>0</v>
      </c>
      <c r="I65" s="409"/>
      <c r="K65" s="497"/>
      <c r="L65" s="394" t="s">
        <v>1062</v>
      </c>
    </row>
    <row r="66" spans="2:12" s="410" customFormat="1" ht="17.399999999999999" hidden="1">
      <c r="B66" s="407"/>
      <c r="C66" s="388"/>
      <c r="D66" s="404" t="s">
        <v>1063</v>
      </c>
      <c r="E66" s="408"/>
      <c r="F66" s="423"/>
      <c r="G66" s="333"/>
      <c r="H66" s="392">
        <f t="shared" si="3"/>
        <v>0</v>
      </c>
      <c r="I66" s="409"/>
      <c r="K66" s="497"/>
      <c r="L66" s="394" t="s">
        <v>1062</v>
      </c>
    </row>
    <row r="67" spans="2:12" s="410" customFormat="1" ht="17.399999999999999" hidden="1">
      <c r="B67" s="407"/>
      <c r="C67" s="388" t="s">
        <v>693</v>
      </c>
      <c r="D67" s="404" t="s">
        <v>1064</v>
      </c>
      <c r="E67" s="408"/>
      <c r="F67" s="405">
        <f>'FC-10_DEUDAS'!M51+'FC-9_1_SUBV_REINT'!M61</f>
        <v>160600</v>
      </c>
      <c r="G67" s="487"/>
      <c r="H67" s="392">
        <f t="shared" si="3"/>
        <v>160600</v>
      </c>
      <c r="I67" s="409"/>
      <c r="K67" s="497"/>
    </row>
    <row r="68" spans="2:12" s="410" customFormat="1" ht="17.399999999999999" hidden="1">
      <c r="B68" s="407"/>
      <c r="C68" s="388" t="s">
        <v>693</v>
      </c>
      <c r="D68" s="404" t="s">
        <v>1065</v>
      </c>
      <c r="E68" s="408"/>
      <c r="F68" s="405">
        <f>'FC-10_DEUDAS'!M73</f>
        <v>0</v>
      </c>
      <c r="G68" s="333"/>
      <c r="H68" s="392">
        <f t="shared" si="3"/>
        <v>0</v>
      </c>
      <c r="I68" s="409"/>
      <c r="K68" s="497"/>
    </row>
    <row r="69" spans="2:12" s="410" customFormat="1" ht="17.399999999999999" hidden="1">
      <c r="B69" s="407"/>
      <c r="C69" s="388"/>
      <c r="D69" s="404" t="s">
        <v>1066</v>
      </c>
      <c r="E69" s="408"/>
      <c r="F69" s="423"/>
      <c r="G69" s="333"/>
      <c r="H69" s="392">
        <f t="shared" si="3"/>
        <v>0</v>
      </c>
      <c r="I69" s="409"/>
      <c r="K69" s="497"/>
      <c r="L69" s="394" t="s">
        <v>1062</v>
      </c>
    </row>
    <row r="70" spans="2:12" s="410" customFormat="1" ht="17.399999999999999">
      <c r="B70" s="407"/>
      <c r="C70" s="492"/>
      <c r="D70" s="501"/>
      <c r="E70" s="391"/>
      <c r="F70" s="391"/>
      <c r="G70" s="483"/>
      <c r="H70" s="392">
        <f>SUM(E70:G70)</f>
        <v>0</v>
      </c>
      <c r="I70" s="409"/>
      <c r="K70" s="497"/>
      <c r="L70" s="394"/>
    </row>
    <row r="71" spans="2:12" s="410" customFormat="1" ht="17.399999999999999">
      <c r="B71" s="407"/>
      <c r="C71" s="494"/>
      <c r="D71" s="503"/>
      <c r="E71" s="391"/>
      <c r="F71" s="391"/>
      <c r="G71" s="484"/>
      <c r="H71" s="392">
        <f>SUM(E71:G71)</f>
        <v>0</v>
      </c>
      <c r="I71" s="409"/>
      <c r="K71" s="497"/>
      <c r="L71" s="394"/>
    </row>
    <row r="72" spans="2:12" s="424" customFormat="1" ht="17.399999999999999">
      <c r="B72" s="372"/>
      <c r="C72" s="1331" t="s">
        <v>1018</v>
      </c>
      <c r="D72" s="1332"/>
      <c r="E72" s="378">
        <f>E56+E63</f>
        <v>0</v>
      </c>
      <c r="F72" s="378">
        <f>F56+F63</f>
        <v>160600</v>
      </c>
      <c r="G72" s="378">
        <f>G56+G63</f>
        <v>0</v>
      </c>
      <c r="H72" s="378">
        <f>H56+H63</f>
        <v>160600</v>
      </c>
      <c r="I72" s="374"/>
      <c r="K72" s="497"/>
    </row>
    <row r="73" spans="2:12" s="371" customFormat="1" ht="15">
      <c r="B73" s="368"/>
      <c r="C73" s="376"/>
      <c r="D73" s="359"/>
      <c r="E73" s="360"/>
      <c r="F73" s="360"/>
      <c r="G73" s="360"/>
      <c r="H73" s="425"/>
      <c r="I73" s="370"/>
      <c r="K73" s="498"/>
    </row>
    <row r="74" spans="2:12" s="429" customFormat="1" ht="21.6" thickBot="1">
      <c r="B74" s="426"/>
      <c r="C74" s="1342" t="s">
        <v>1067</v>
      </c>
      <c r="D74" s="1343"/>
      <c r="E74" s="427">
        <f>E72+E54+E43</f>
        <v>1342833.16</v>
      </c>
      <c r="F74" s="427">
        <f>F72+F54+F43</f>
        <v>-176934.32999999996</v>
      </c>
      <c r="G74" s="427">
        <f>G72+G54+G43</f>
        <v>0</v>
      </c>
      <c r="H74" s="427">
        <f>H72+H54+H43</f>
        <v>1165898.83</v>
      </c>
      <c r="I74" s="428"/>
      <c r="K74" s="497"/>
    </row>
    <row r="75" spans="2:12" s="371" customFormat="1" ht="15.6">
      <c r="B75" s="368"/>
      <c r="C75" s="96"/>
      <c r="D75" s="376"/>
      <c r="E75" s="360"/>
      <c r="F75" s="360"/>
      <c r="G75" s="360"/>
      <c r="H75" s="56"/>
      <c r="I75" s="370"/>
      <c r="K75" s="498"/>
    </row>
    <row r="76" spans="2:12" s="371" customFormat="1" ht="17.399999999999999">
      <c r="B76" s="368"/>
      <c r="C76" s="1344" t="s">
        <v>1020</v>
      </c>
      <c r="D76" s="1345"/>
      <c r="E76" s="430">
        <f>SUM(E77:E84)</f>
        <v>4199.46</v>
      </c>
      <c r="F76" s="430">
        <f>SUM(F77:F84)</f>
        <v>0</v>
      </c>
      <c r="G76" s="430">
        <f>SUM(G77:G84)</f>
        <v>0</v>
      </c>
      <c r="H76" s="430">
        <f>SUM(H77:H84)</f>
        <v>4199.46</v>
      </c>
      <c r="I76" s="370"/>
      <c r="K76" s="497"/>
    </row>
    <row r="77" spans="2:12" s="365" customFormat="1" ht="17.399999999999999" hidden="1">
      <c r="B77" s="398"/>
      <c r="C77" s="388" t="s">
        <v>334</v>
      </c>
      <c r="D77" s="389" t="s">
        <v>256</v>
      </c>
      <c r="E77" s="390">
        <f>IF('FC-3_CPyG'!H28&gt;0,'FC-3_CPyG'!H28,0)</f>
        <v>0</v>
      </c>
      <c r="F77" s="391"/>
      <c r="G77" s="391"/>
      <c r="H77" s="392">
        <f t="shared" ref="H77:H84" si="4">F77+E77</f>
        <v>0</v>
      </c>
      <c r="I77" s="399"/>
      <c r="K77" s="497"/>
      <c r="L77" s="394" t="s">
        <v>1068</v>
      </c>
    </row>
    <row r="78" spans="2:12" s="365" customFormat="1" ht="17.399999999999999" hidden="1">
      <c r="B78" s="398"/>
      <c r="C78" s="388" t="s">
        <v>334</v>
      </c>
      <c r="D78" s="389" t="s">
        <v>258</v>
      </c>
      <c r="E78" s="390">
        <f>'FC-3_CPyG'!H29</f>
        <v>0</v>
      </c>
      <c r="F78" s="391"/>
      <c r="G78" s="391"/>
      <c r="H78" s="392">
        <f t="shared" si="4"/>
        <v>0</v>
      </c>
      <c r="I78" s="399"/>
      <c r="K78" s="497"/>
      <c r="L78" s="394" t="s">
        <v>1069</v>
      </c>
    </row>
    <row r="79" spans="2:12" s="365" customFormat="1" ht="17.399999999999999" hidden="1">
      <c r="B79" s="398"/>
      <c r="C79" s="388" t="s">
        <v>334</v>
      </c>
      <c r="D79" s="389" t="s">
        <v>276</v>
      </c>
      <c r="E79" s="390">
        <f>'FC-3_CPyG'!H41</f>
        <v>4199.46</v>
      </c>
      <c r="F79" s="391"/>
      <c r="G79" s="391"/>
      <c r="H79" s="392">
        <f t="shared" si="4"/>
        <v>4199.46</v>
      </c>
      <c r="I79" s="399"/>
      <c r="K79" s="497"/>
    </row>
    <row r="80" spans="2:12" s="365" customFormat="1" ht="17.399999999999999" hidden="1">
      <c r="B80" s="398"/>
      <c r="C80" s="388" t="s">
        <v>334</v>
      </c>
      <c r="D80" s="389" t="s">
        <v>278</v>
      </c>
      <c r="E80" s="390">
        <f>'FC-3_CPyG'!H42</f>
        <v>0</v>
      </c>
      <c r="F80" s="391"/>
      <c r="G80" s="391"/>
      <c r="H80" s="392">
        <f t="shared" si="4"/>
        <v>0</v>
      </c>
      <c r="I80" s="399"/>
      <c r="K80" s="497"/>
    </row>
    <row r="81" spans="2:11" s="365" customFormat="1" ht="17.399999999999999" hidden="1">
      <c r="B81" s="398"/>
      <c r="C81" s="388" t="s">
        <v>334</v>
      </c>
      <c r="D81" s="389" t="s">
        <v>280</v>
      </c>
      <c r="E81" s="390">
        <f>IF('FC-3_CPyG'!H43&gt;0,'FC-3_CPyG'!H43,0)</f>
        <v>0</v>
      </c>
      <c r="F81" s="391"/>
      <c r="G81" s="391"/>
      <c r="H81" s="392">
        <f t="shared" si="4"/>
        <v>0</v>
      </c>
      <c r="I81" s="399"/>
      <c r="K81" s="497"/>
    </row>
    <row r="82" spans="2:11" s="365" customFormat="1" ht="17.399999999999999" hidden="1">
      <c r="B82" s="398"/>
      <c r="C82" s="388" t="s">
        <v>334</v>
      </c>
      <c r="D82" s="389" t="s">
        <v>299</v>
      </c>
      <c r="E82" s="390">
        <f>IF('FC-3_CPyG'!H56&gt;0,'FC-3_CPyG'!H56,0)</f>
        <v>0</v>
      </c>
      <c r="F82" s="391"/>
      <c r="G82" s="391"/>
      <c r="H82" s="392">
        <f t="shared" si="4"/>
        <v>0</v>
      </c>
      <c r="I82" s="399"/>
      <c r="K82" s="497"/>
    </row>
    <row r="83" spans="2:11" s="365" customFormat="1" ht="17.399999999999999" hidden="1">
      <c r="B83" s="398"/>
      <c r="C83" s="388" t="s">
        <v>398</v>
      </c>
      <c r="D83" s="389" t="s">
        <v>1070</v>
      </c>
      <c r="E83" s="391">
        <f>'FC-3_1_INF_ADIC_CPyG'!E56</f>
        <v>0</v>
      </c>
      <c r="F83" s="391"/>
      <c r="G83" s="483"/>
      <c r="H83" s="392">
        <f t="shared" si="4"/>
        <v>0</v>
      </c>
      <c r="I83" s="399"/>
      <c r="K83" s="497"/>
    </row>
    <row r="84" spans="2:11" s="365" customFormat="1" ht="17.399999999999999" hidden="1">
      <c r="B84" s="398"/>
      <c r="C84" s="388"/>
      <c r="D84" s="389"/>
      <c r="E84" s="391"/>
      <c r="F84" s="391"/>
      <c r="G84" s="483"/>
      <c r="H84" s="392">
        <f t="shared" si="4"/>
        <v>0</v>
      </c>
      <c r="I84" s="399"/>
      <c r="K84" s="497"/>
    </row>
    <row r="85" spans="2:11" s="365" customFormat="1" ht="15.6">
      <c r="B85" s="398"/>
      <c r="C85" s="431"/>
      <c r="D85" s="431"/>
      <c r="E85" s="431"/>
      <c r="F85" s="431"/>
      <c r="G85" s="431"/>
      <c r="H85" s="431"/>
      <c r="I85" s="399"/>
      <c r="K85" s="499"/>
    </row>
    <row r="86" spans="2:11" s="359" customFormat="1" ht="18" thickBot="1">
      <c r="B86" s="432"/>
      <c r="C86" s="1340" t="s">
        <v>1071</v>
      </c>
      <c r="D86" s="1341"/>
      <c r="E86" s="433">
        <f>E74+E76</f>
        <v>1347032.6199999999</v>
      </c>
      <c r="F86" s="433">
        <f t="shared" ref="F86:H86" si="5">F74+F76</f>
        <v>-176934.32999999996</v>
      </c>
      <c r="G86" s="433">
        <f t="shared" si="5"/>
        <v>0</v>
      </c>
      <c r="H86" s="433">
        <f t="shared" si="5"/>
        <v>1170098.29</v>
      </c>
      <c r="I86" s="434"/>
      <c r="J86" s="435"/>
      <c r="K86" s="497"/>
    </row>
    <row r="87" spans="2:11" s="371" customFormat="1" ht="17.399999999999999">
      <c r="B87" s="368"/>
      <c r="C87" s="436"/>
      <c r="D87" s="436"/>
      <c r="E87" s="437"/>
      <c r="F87" s="437"/>
      <c r="G87" s="437"/>
      <c r="H87" s="150"/>
      <c r="I87" s="370"/>
      <c r="K87" s="498"/>
    </row>
    <row r="88" spans="2:11" s="371" customFormat="1" ht="17.399999999999999">
      <c r="B88" s="368"/>
      <c r="C88" s="436"/>
      <c r="D88" s="436"/>
      <c r="E88" s="437"/>
      <c r="F88" s="437"/>
      <c r="G88" s="437"/>
      <c r="H88" s="150"/>
      <c r="I88" s="370"/>
      <c r="K88" s="498"/>
    </row>
    <row r="89" spans="2:11" s="380" customFormat="1" ht="22.8">
      <c r="B89" s="377"/>
      <c r="C89" s="1335" t="s">
        <v>1021</v>
      </c>
      <c r="D89" s="1336"/>
      <c r="E89" s="438"/>
      <c r="F89" s="438"/>
      <c r="G89" s="438"/>
      <c r="H89" s="439" t="s">
        <v>700</v>
      </c>
      <c r="I89" s="379"/>
      <c r="K89" s="497"/>
    </row>
    <row r="90" spans="2:11" ht="17.399999999999999">
      <c r="B90" s="375"/>
      <c r="C90" s="381"/>
      <c r="D90" s="376"/>
      <c r="E90" s="360"/>
      <c r="F90" s="360"/>
      <c r="G90" s="360"/>
      <c r="H90" s="30"/>
      <c r="I90" s="366"/>
      <c r="K90" s="500"/>
    </row>
    <row r="91" spans="2:11" s="387" customFormat="1" ht="17.399999999999999">
      <c r="B91" s="382"/>
      <c r="C91" s="383" t="s">
        <v>403</v>
      </c>
      <c r="D91" s="129" t="s">
        <v>1022</v>
      </c>
      <c r="E91" s="384">
        <f>SUM(E92:E95)</f>
        <v>604219.26</v>
      </c>
      <c r="F91" s="384">
        <f>SUM(F92:F95)</f>
        <v>0</v>
      </c>
      <c r="G91" s="384">
        <f>SUM(G92:G95)</f>
        <v>0</v>
      </c>
      <c r="H91" s="384">
        <f>SUM(H92:H95)</f>
        <v>604219.26</v>
      </c>
      <c r="I91" s="386"/>
      <c r="K91" s="497"/>
    </row>
    <row r="92" spans="2:11" s="371" customFormat="1" ht="17.399999999999999" hidden="1">
      <c r="B92" s="368"/>
      <c r="C92" s="388" t="s">
        <v>334</v>
      </c>
      <c r="D92" s="389" t="s">
        <v>264</v>
      </c>
      <c r="E92" s="390">
        <f>'FC-13_PERSONAL'!F31</f>
        <v>446684.93000000005</v>
      </c>
      <c r="F92" s="391"/>
      <c r="G92" s="391"/>
      <c r="H92" s="392">
        <f>F92+E92</f>
        <v>446684.93000000005</v>
      </c>
      <c r="I92" s="370"/>
      <c r="K92" s="497"/>
    </row>
    <row r="93" spans="2:11" s="371" customFormat="1" ht="17.399999999999999" hidden="1">
      <c r="B93" s="368"/>
      <c r="C93" s="899" t="s">
        <v>334</v>
      </c>
      <c r="D93" s="900" t="s">
        <v>1072</v>
      </c>
      <c r="E93" s="391">
        <f>-'FC-3_CPyG'!H34</f>
        <v>157534.32999999999</v>
      </c>
      <c r="F93" s="391"/>
      <c r="G93" s="483"/>
      <c r="H93" s="392">
        <f>F93+E93</f>
        <v>157534.32999999999</v>
      </c>
      <c r="I93" s="370"/>
      <c r="K93" s="497"/>
    </row>
    <row r="94" spans="2:11" s="371" customFormat="1" ht="17.399999999999999" hidden="1">
      <c r="B94" s="368"/>
      <c r="C94" s="492"/>
      <c r="D94" s="501"/>
      <c r="E94" s="391"/>
      <c r="F94" s="391"/>
      <c r="G94" s="483"/>
      <c r="H94" s="392">
        <f>SUM(E94:G94)</f>
        <v>0</v>
      </c>
      <c r="I94" s="370"/>
      <c r="K94" s="497"/>
    </row>
    <row r="95" spans="2:11" s="371" customFormat="1" ht="17.399999999999999">
      <c r="B95" s="368"/>
      <c r="C95" s="494"/>
      <c r="D95" s="502"/>
      <c r="E95" s="391"/>
      <c r="F95" s="391"/>
      <c r="G95" s="484"/>
      <c r="H95" s="392">
        <f>SUM(E95:G95)</f>
        <v>0</v>
      </c>
      <c r="I95" s="370"/>
      <c r="K95" s="497"/>
    </row>
    <row r="96" spans="2:11" s="387" customFormat="1" ht="17.399999999999999">
      <c r="B96" s="382"/>
      <c r="C96" s="440" t="s">
        <v>405</v>
      </c>
      <c r="D96" s="441" t="s">
        <v>1023</v>
      </c>
      <c r="E96" s="442">
        <f>SUM(E97:E103)</f>
        <v>725392.37999999989</v>
      </c>
      <c r="F96" s="442">
        <f>SUM(F97:F103)</f>
        <v>0</v>
      </c>
      <c r="G96" s="442">
        <f>SUM(G97:G103)</f>
        <v>0</v>
      </c>
      <c r="H96" s="442">
        <f>SUM(H97:H103)</f>
        <v>725392.37999999989</v>
      </c>
      <c r="I96" s="386"/>
      <c r="K96" s="497"/>
    </row>
    <row r="97" spans="2:12" s="371" customFormat="1" ht="17.399999999999999" hidden="1">
      <c r="B97" s="368"/>
      <c r="C97" s="388" t="s">
        <v>1073</v>
      </c>
      <c r="D97" s="389" t="s">
        <v>1074</v>
      </c>
      <c r="E97" s="390">
        <f>-'FC-3_CPyG'!H30</f>
        <v>320896.55</v>
      </c>
      <c r="F97" s="391"/>
      <c r="G97" s="391"/>
      <c r="H97" s="392">
        <f>SUM(E97:G97)</f>
        <v>320896.55</v>
      </c>
      <c r="I97" s="370"/>
      <c r="K97" s="497"/>
      <c r="L97" s="394" t="s">
        <v>1075</v>
      </c>
    </row>
    <row r="98" spans="2:12" s="371" customFormat="1" ht="17.399999999999999" hidden="1">
      <c r="B98" s="368"/>
      <c r="C98" s="388" t="s">
        <v>334</v>
      </c>
      <c r="D98" s="389" t="s">
        <v>268</v>
      </c>
      <c r="E98" s="390">
        <f>-'FC-3_CPyG'!H35</f>
        <v>404495.82999999996</v>
      </c>
      <c r="F98" s="391"/>
      <c r="G98" s="391"/>
      <c r="H98" s="392">
        <f t="shared" ref="H98:H108" si="6">SUM(E98:G98)</f>
        <v>404495.82999999996</v>
      </c>
      <c r="I98" s="370"/>
      <c r="K98" s="497"/>
    </row>
    <row r="99" spans="2:12" s="371" customFormat="1" ht="17.399999999999999" hidden="1">
      <c r="B99" s="368"/>
      <c r="C99" s="388" t="s">
        <v>334</v>
      </c>
      <c r="D99" s="389" t="s">
        <v>1076</v>
      </c>
      <c r="E99" s="390">
        <f>-'FC-3_CPyG'!H60</f>
        <v>0</v>
      </c>
      <c r="F99" s="391"/>
      <c r="G99" s="391"/>
      <c r="H99" s="392">
        <f t="shared" si="6"/>
        <v>0</v>
      </c>
      <c r="I99" s="370"/>
      <c r="K99" s="497"/>
    </row>
    <row r="100" spans="2:12" s="448" customFormat="1" ht="17.399999999999999" hidden="1">
      <c r="B100" s="443"/>
      <c r="C100" s="444"/>
      <c r="D100" s="445" t="s">
        <v>1077</v>
      </c>
      <c r="E100" s="446"/>
      <c r="F100" s="486"/>
      <c r="G100" s="486"/>
      <c r="H100" s="392">
        <f t="shared" si="6"/>
        <v>0</v>
      </c>
      <c r="I100" s="447"/>
      <c r="K100" s="497"/>
      <c r="L100" s="394" t="s">
        <v>1062</v>
      </c>
    </row>
    <row r="101" spans="2:12" s="371" customFormat="1" ht="17.399999999999999" hidden="1">
      <c r="B101" s="368"/>
      <c r="C101" s="388" t="s">
        <v>398</v>
      </c>
      <c r="D101" s="389" t="s">
        <v>1078</v>
      </c>
      <c r="E101" s="391">
        <f>'FC-3_1_INF_ADIC_CPyG'!E61</f>
        <v>0</v>
      </c>
      <c r="F101" s="391"/>
      <c r="G101" s="483"/>
      <c r="H101" s="392">
        <f t="shared" si="6"/>
        <v>0</v>
      </c>
      <c r="I101" s="370"/>
      <c r="K101" s="497"/>
    </row>
    <row r="102" spans="2:12" s="371" customFormat="1" ht="17.399999999999999" hidden="1">
      <c r="B102" s="368"/>
      <c r="C102" s="899" t="s">
        <v>334</v>
      </c>
      <c r="D102" s="900" t="s">
        <v>1079</v>
      </c>
      <c r="E102" s="391"/>
      <c r="F102" s="391"/>
      <c r="G102" s="484"/>
      <c r="H102" s="392">
        <f t="shared" si="6"/>
        <v>0</v>
      </c>
      <c r="I102" s="370"/>
      <c r="K102" s="497"/>
    </row>
    <row r="103" spans="2:12" s="371" customFormat="1" ht="17.399999999999999">
      <c r="B103" s="368"/>
      <c r="C103" s="494"/>
      <c r="D103" s="502"/>
      <c r="E103" s="391"/>
      <c r="F103" s="391"/>
      <c r="G103" s="484"/>
      <c r="H103" s="392">
        <f t="shared" si="6"/>
        <v>0</v>
      </c>
      <c r="I103" s="370"/>
      <c r="K103" s="497"/>
    </row>
    <row r="104" spans="2:12" s="387" customFormat="1" ht="17.399999999999999">
      <c r="B104" s="382"/>
      <c r="C104" s="440" t="s">
        <v>407</v>
      </c>
      <c r="D104" s="441" t="s">
        <v>1024</v>
      </c>
      <c r="E104" s="442">
        <f>SUM(E105:E109)</f>
        <v>0</v>
      </c>
      <c r="F104" s="442">
        <f t="shared" ref="F104:H104" si="7">SUM(F105:F109)</f>
        <v>0</v>
      </c>
      <c r="G104" s="442">
        <f t="shared" si="7"/>
        <v>0</v>
      </c>
      <c r="H104" s="442">
        <f t="shared" si="7"/>
        <v>0</v>
      </c>
      <c r="I104" s="386"/>
      <c r="K104" s="497"/>
    </row>
    <row r="105" spans="2:12" s="371" customFormat="1" ht="17.399999999999999" hidden="1">
      <c r="B105" s="368"/>
      <c r="C105" s="388" t="s">
        <v>334</v>
      </c>
      <c r="D105" s="389" t="s">
        <v>290</v>
      </c>
      <c r="E105" s="390">
        <f>-'FC-3_CPyG'!H50</f>
        <v>0</v>
      </c>
      <c r="F105" s="391"/>
      <c r="G105" s="391"/>
      <c r="H105" s="392">
        <f>SUM(E105:G105)</f>
        <v>0</v>
      </c>
      <c r="I105" s="370"/>
      <c r="K105" s="497"/>
    </row>
    <row r="106" spans="2:12" s="371" customFormat="1" ht="17.399999999999999" hidden="1">
      <c r="B106" s="368"/>
      <c r="C106" s="388"/>
      <c r="D106" s="389"/>
      <c r="E106" s="391"/>
      <c r="F106" s="391"/>
      <c r="G106" s="483"/>
      <c r="H106" s="392">
        <f t="shared" si="6"/>
        <v>0</v>
      </c>
      <c r="I106" s="370"/>
      <c r="K106" s="497"/>
    </row>
    <row r="107" spans="2:12" s="371" customFormat="1" ht="17.399999999999999" hidden="1">
      <c r="B107" s="368"/>
      <c r="C107" s="388"/>
      <c r="D107" s="389"/>
      <c r="E107" s="391"/>
      <c r="F107" s="391"/>
      <c r="G107" s="483"/>
      <c r="H107" s="392">
        <f>SUM(E107:G107)</f>
        <v>0</v>
      </c>
      <c r="I107" s="370"/>
      <c r="K107" s="497"/>
    </row>
    <row r="108" spans="2:12" s="371" customFormat="1" ht="17.399999999999999" hidden="1">
      <c r="B108" s="368"/>
      <c r="C108" s="492"/>
      <c r="D108" s="501"/>
      <c r="E108" s="391"/>
      <c r="F108" s="391"/>
      <c r="G108" s="483"/>
      <c r="H108" s="392">
        <f t="shared" si="6"/>
        <v>0</v>
      </c>
      <c r="I108" s="370"/>
      <c r="K108" s="497"/>
    </row>
    <row r="109" spans="2:12" s="371" customFormat="1" ht="17.399999999999999">
      <c r="B109" s="368"/>
      <c r="C109" s="494"/>
      <c r="D109" s="503"/>
      <c r="E109" s="391"/>
      <c r="F109" s="391"/>
      <c r="G109" s="484"/>
      <c r="H109" s="392">
        <f>SUM(E109:G109)</f>
        <v>0</v>
      </c>
      <c r="I109" s="370"/>
      <c r="K109" s="497"/>
    </row>
    <row r="110" spans="2:12" s="387" customFormat="1" ht="17.399999999999999">
      <c r="B110" s="382"/>
      <c r="C110" s="440" t="s">
        <v>409</v>
      </c>
      <c r="D110" s="441" t="s">
        <v>1025</v>
      </c>
      <c r="E110" s="442">
        <f>SUM(E111:E113)</f>
        <v>0</v>
      </c>
      <c r="F110" s="442">
        <f>SUM(F111:F113)</f>
        <v>0</v>
      </c>
      <c r="G110" s="442">
        <f>SUM(G111:G113)</f>
        <v>0</v>
      </c>
      <c r="H110" s="442">
        <f>SUM(H111:H113)</f>
        <v>0</v>
      </c>
      <c r="I110" s="386"/>
      <c r="K110" s="497"/>
    </row>
    <row r="111" spans="2:12" s="371" customFormat="1" ht="17.399999999999999" hidden="1">
      <c r="B111" s="368"/>
      <c r="C111" s="388" t="s">
        <v>334</v>
      </c>
      <c r="D111" s="389" t="s">
        <v>250</v>
      </c>
      <c r="E111" s="390">
        <f>-'FC-3_CPyG'!H23</f>
        <v>0</v>
      </c>
      <c r="F111" s="391"/>
      <c r="G111" s="391"/>
      <c r="H111" s="392">
        <f>SUM(E111:G111)</f>
        <v>0</v>
      </c>
      <c r="I111" s="370"/>
      <c r="K111" s="497"/>
    </row>
    <row r="112" spans="2:12" s="371" customFormat="1" ht="17.399999999999999" hidden="1">
      <c r="B112" s="368"/>
      <c r="C112" s="492"/>
      <c r="D112" s="501"/>
      <c r="E112" s="483"/>
      <c r="F112" s="391"/>
      <c r="G112" s="483"/>
      <c r="H112" s="392">
        <f>SUM(E112:G112)</f>
        <v>0</v>
      </c>
      <c r="I112" s="370"/>
      <c r="K112" s="497"/>
    </row>
    <row r="113" spans="2:12" s="371" customFormat="1" ht="17.399999999999999">
      <c r="B113" s="368"/>
      <c r="C113" s="494"/>
      <c r="D113" s="503"/>
      <c r="E113" s="391"/>
      <c r="F113" s="391"/>
      <c r="G113" s="484"/>
      <c r="H113" s="392">
        <f>SUM(E113:G113)</f>
        <v>0</v>
      </c>
      <c r="I113" s="370"/>
      <c r="K113" s="497"/>
    </row>
    <row r="114" spans="2:12" s="58" customFormat="1" ht="17.399999999999999">
      <c r="B114" s="411"/>
      <c r="C114" s="1331" t="s">
        <v>1026</v>
      </c>
      <c r="D114" s="1332"/>
      <c r="E114" s="378">
        <f>E91+E96+E104+E110</f>
        <v>1329611.6399999999</v>
      </c>
      <c r="F114" s="378">
        <f>F91+F96+F104+F110</f>
        <v>0</v>
      </c>
      <c r="G114" s="378">
        <f>G91+G96+G104+G110</f>
        <v>0</v>
      </c>
      <c r="H114" s="378">
        <f>H91+H96+H104+H110</f>
        <v>1329611.6399999999</v>
      </c>
      <c r="I114" s="412"/>
      <c r="K114" s="497"/>
    </row>
    <row r="115" spans="2:12" s="371" customFormat="1" ht="15.6">
      <c r="B115" s="368"/>
      <c r="C115" s="96"/>
      <c r="D115" s="376"/>
      <c r="E115" s="360"/>
      <c r="F115" s="360"/>
      <c r="G115" s="360"/>
      <c r="H115" s="56"/>
      <c r="I115" s="370"/>
      <c r="K115" s="498"/>
    </row>
    <row r="116" spans="2:12" s="387" customFormat="1" ht="17.399999999999999">
      <c r="B116" s="382"/>
      <c r="C116" s="383" t="s">
        <v>413</v>
      </c>
      <c r="D116" s="129" t="s">
        <v>1027</v>
      </c>
      <c r="E116" s="384">
        <f>SUM(E117:E120)</f>
        <v>0</v>
      </c>
      <c r="F116" s="384">
        <f t="shared" ref="F116:G116" si="8">SUM(F117:F120)</f>
        <v>10000</v>
      </c>
      <c r="G116" s="384">
        <f t="shared" si="8"/>
        <v>0</v>
      </c>
      <c r="H116" s="384">
        <f>SUM(H117:H120)</f>
        <v>10000</v>
      </c>
      <c r="I116" s="386"/>
      <c r="K116" s="497"/>
    </row>
    <row r="117" spans="2:12" s="371" customFormat="1" ht="17.399999999999999" hidden="1">
      <c r="B117" s="368"/>
      <c r="C117" s="388" t="s">
        <v>532</v>
      </c>
      <c r="D117" s="404" t="s">
        <v>1080</v>
      </c>
      <c r="E117" s="391"/>
      <c r="F117" s="416">
        <f>+'FC-7_INF'!F31</f>
        <v>10000</v>
      </c>
      <c r="G117" s="486"/>
      <c r="H117" s="392">
        <f>SUM(E117:G117)</f>
        <v>10000</v>
      </c>
      <c r="I117" s="370"/>
      <c r="K117" s="497"/>
    </row>
    <row r="118" spans="2:12" s="365" customFormat="1" ht="19.95" hidden="1" customHeight="1">
      <c r="B118" s="398"/>
      <c r="C118" s="388" t="s">
        <v>532</v>
      </c>
      <c r="D118" s="404" t="s">
        <v>1081</v>
      </c>
      <c r="E118" s="391"/>
      <c r="F118" s="416">
        <f>+'FC-7_INF'!H31</f>
        <v>0</v>
      </c>
      <c r="G118" s="486"/>
      <c r="H118" s="392">
        <f>SUM(E118:G118)</f>
        <v>0</v>
      </c>
      <c r="I118" s="399"/>
      <c r="K118" s="497"/>
    </row>
    <row r="119" spans="2:12" s="365" customFormat="1" ht="17.399999999999999" hidden="1">
      <c r="B119" s="398"/>
      <c r="C119" s="492"/>
      <c r="D119" s="493"/>
      <c r="E119" s="391"/>
      <c r="F119" s="391"/>
      <c r="G119" s="333"/>
      <c r="H119" s="392">
        <f>SUM(E119:G119)</f>
        <v>0</v>
      </c>
      <c r="I119" s="399"/>
      <c r="K119" s="497"/>
    </row>
    <row r="120" spans="2:12" s="365" customFormat="1" ht="17.399999999999999">
      <c r="B120" s="398"/>
      <c r="C120" s="494"/>
      <c r="D120" s="502"/>
      <c r="E120" s="449"/>
      <c r="F120" s="449"/>
      <c r="G120" s="488"/>
      <c r="H120" s="392">
        <f>SUM(E120:G120)</f>
        <v>0</v>
      </c>
      <c r="I120" s="399"/>
      <c r="K120" s="497"/>
    </row>
    <row r="121" spans="2:12" s="387" customFormat="1" ht="17.399999999999999">
      <c r="B121" s="382"/>
      <c r="C121" s="383" t="s">
        <v>415</v>
      </c>
      <c r="D121" s="129" t="s">
        <v>1012</v>
      </c>
      <c r="E121" s="384">
        <f>SUM(E122:E124)</f>
        <v>0</v>
      </c>
      <c r="F121" s="384">
        <f>SUM(F122:F124)</f>
        <v>0</v>
      </c>
      <c r="G121" s="384">
        <f>SUM(G122:G124)</f>
        <v>0</v>
      </c>
      <c r="H121" s="384">
        <f>SUM(H122:H124)</f>
        <v>0</v>
      </c>
      <c r="I121" s="386"/>
      <c r="K121" s="497"/>
    </row>
    <row r="122" spans="2:12" s="365" customFormat="1" ht="17.399999999999999" hidden="1">
      <c r="B122" s="398"/>
      <c r="C122" s="388"/>
      <c r="D122" s="404" t="s">
        <v>1082</v>
      </c>
      <c r="E122" s="391"/>
      <c r="F122" s="421">
        <f>IF('FC-4_PASIVO'!H18-'FC-4_PASIVO'!G18&lt;0,'FC-4_PASIVO'!G18-'FC-4_PASIVO'!H18,0)</f>
        <v>0</v>
      </c>
      <c r="G122" s="487"/>
      <c r="H122" s="392">
        <f>SUM(E122:G122)</f>
        <v>0</v>
      </c>
      <c r="I122" s="399"/>
      <c r="K122" s="497"/>
      <c r="L122" s="394" t="s">
        <v>1083</v>
      </c>
    </row>
    <row r="123" spans="2:12" s="365" customFormat="1" ht="17.399999999999999" hidden="1">
      <c r="B123" s="398"/>
      <c r="C123" s="492"/>
      <c r="D123" s="493"/>
      <c r="E123" s="391"/>
      <c r="F123" s="391"/>
      <c r="G123" s="334"/>
      <c r="H123" s="392">
        <f>SUM(E123:G123)</f>
        <v>0</v>
      </c>
      <c r="I123" s="399"/>
      <c r="K123" s="497"/>
    </row>
    <row r="124" spans="2:12" s="365" customFormat="1" ht="17.399999999999999">
      <c r="B124" s="398"/>
      <c r="C124" s="494"/>
      <c r="D124" s="502"/>
      <c r="E124" s="449"/>
      <c r="F124" s="449"/>
      <c r="G124" s="489"/>
      <c r="H124" s="392">
        <f>SUM(E124:G124)</f>
        <v>0</v>
      </c>
      <c r="I124" s="399"/>
      <c r="K124" s="497"/>
    </row>
    <row r="125" spans="2:12" s="58" customFormat="1" ht="17.399999999999999">
      <c r="B125" s="411"/>
      <c r="C125" s="1331" t="s">
        <v>1028</v>
      </c>
      <c r="D125" s="1332"/>
      <c r="E125" s="378">
        <f>+E116+E121</f>
        <v>0</v>
      </c>
      <c r="F125" s="378">
        <f t="shared" ref="F125:H125" si="9">+F116+F121</f>
        <v>10000</v>
      </c>
      <c r="G125" s="378">
        <f t="shared" si="9"/>
        <v>0</v>
      </c>
      <c r="H125" s="378">
        <f t="shared" si="9"/>
        <v>10000</v>
      </c>
      <c r="I125" s="412"/>
      <c r="K125" s="497"/>
    </row>
    <row r="126" spans="2:12" s="371" customFormat="1" ht="15.6">
      <c r="B126" s="368"/>
      <c r="C126" s="96"/>
      <c r="D126" s="376"/>
      <c r="E126" s="360"/>
      <c r="F126" s="360"/>
      <c r="G126" s="360"/>
      <c r="H126" s="56"/>
      <c r="I126" s="370"/>
      <c r="K126" s="498"/>
    </row>
    <row r="127" spans="2:12" s="387" customFormat="1" ht="17.399999999999999">
      <c r="B127" s="382"/>
      <c r="C127" s="383" t="s">
        <v>1014</v>
      </c>
      <c r="D127" s="129" t="s">
        <v>1015</v>
      </c>
      <c r="E127" s="384">
        <f>SUM(E128:E133)</f>
        <v>0</v>
      </c>
      <c r="F127" s="384">
        <f>SUM(F128:F133)</f>
        <v>0</v>
      </c>
      <c r="G127" s="384">
        <f>SUM(G128:G133)</f>
        <v>0</v>
      </c>
      <c r="H127" s="384">
        <f>SUM(H128:H133)</f>
        <v>0</v>
      </c>
      <c r="I127" s="386"/>
      <c r="K127" s="497"/>
    </row>
    <row r="128" spans="2:12" s="365" customFormat="1" ht="17.399999999999999" hidden="1">
      <c r="B128" s="398"/>
      <c r="C128" s="388" t="s">
        <v>562</v>
      </c>
      <c r="D128" s="404" t="s">
        <v>1084</v>
      </c>
      <c r="E128" s="391"/>
      <c r="F128" s="416">
        <f>'FC-8_INV_FINANCIERAS'!G25</f>
        <v>0</v>
      </c>
      <c r="G128" s="334"/>
      <c r="H128" s="392">
        <f>SUM(E128:G128)</f>
        <v>0</v>
      </c>
      <c r="I128" s="399"/>
      <c r="K128" s="497"/>
    </row>
    <row r="129" spans="2:12" s="365" customFormat="1" ht="17.399999999999999" hidden="1">
      <c r="B129" s="398"/>
      <c r="C129" s="388" t="s">
        <v>562</v>
      </c>
      <c r="D129" s="404" t="s">
        <v>1085</v>
      </c>
      <c r="E129" s="391"/>
      <c r="F129" s="416">
        <f>'FC-8_INV_FINANCIERAS'!G34</f>
        <v>0</v>
      </c>
      <c r="G129" s="487"/>
      <c r="H129" s="392">
        <f t="shared" ref="H129:H133" si="10">SUM(E129:G129)</f>
        <v>0</v>
      </c>
      <c r="I129" s="399"/>
      <c r="K129" s="497"/>
    </row>
    <row r="130" spans="2:12" s="365" customFormat="1" ht="17.399999999999999" hidden="1">
      <c r="B130" s="398"/>
      <c r="C130" s="388" t="s">
        <v>562</v>
      </c>
      <c r="D130" s="404" t="s">
        <v>1086</v>
      </c>
      <c r="E130" s="391"/>
      <c r="F130" s="416">
        <f>'FC-8_INV_FINANCIERAS'!G49</f>
        <v>0</v>
      </c>
      <c r="G130" s="334"/>
      <c r="H130" s="392">
        <f t="shared" si="10"/>
        <v>0</v>
      </c>
      <c r="I130" s="399"/>
      <c r="K130" s="497"/>
    </row>
    <row r="131" spans="2:12" s="365" customFormat="1" ht="17.399999999999999" hidden="1">
      <c r="B131" s="398"/>
      <c r="C131" s="388" t="s">
        <v>562</v>
      </c>
      <c r="D131" s="404" t="s">
        <v>1087</v>
      </c>
      <c r="E131" s="391"/>
      <c r="F131" s="416">
        <f>'FC-8_INV_FINANCIERAS'!G58</f>
        <v>0</v>
      </c>
      <c r="G131" s="334"/>
      <c r="H131" s="392">
        <f t="shared" si="10"/>
        <v>0</v>
      </c>
      <c r="I131" s="399"/>
      <c r="K131" s="497"/>
    </row>
    <row r="132" spans="2:12" s="365" customFormat="1" ht="17.399999999999999" hidden="1">
      <c r="B132" s="398"/>
      <c r="C132" s="492"/>
      <c r="D132" s="493"/>
      <c r="E132" s="391"/>
      <c r="F132" s="391"/>
      <c r="G132" s="334"/>
      <c r="H132" s="392">
        <f t="shared" si="10"/>
        <v>0</v>
      </c>
      <c r="I132" s="399"/>
      <c r="K132" s="497"/>
    </row>
    <row r="133" spans="2:12" s="365" customFormat="1" ht="17.399999999999999">
      <c r="B133" s="398"/>
      <c r="C133" s="494"/>
      <c r="D133" s="502"/>
      <c r="E133" s="449"/>
      <c r="F133" s="449"/>
      <c r="G133" s="489"/>
      <c r="H133" s="392">
        <f t="shared" si="10"/>
        <v>0</v>
      </c>
      <c r="I133" s="399"/>
      <c r="K133" s="497"/>
    </row>
    <row r="134" spans="2:12" s="365" customFormat="1" ht="17.399999999999999">
      <c r="B134" s="398"/>
      <c r="C134" s="413" t="s">
        <v>1016</v>
      </c>
      <c r="D134" s="231" t="s">
        <v>1017</v>
      </c>
      <c r="E134" s="414">
        <f>SUM(E135:E142)</f>
        <v>0</v>
      </c>
      <c r="F134" s="414">
        <f>SUM(F135:F142)</f>
        <v>0</v>
      </c>
      <c r="G134" s="414">
        <f>SUM(G135:G142)</f>
        <v>0</v>
      </c>
      <c r="H134" s="414">
        <f>SUM(H135:H142)</f>
        <v>0</v>
      </c>
      <c r="I134" s="399"/>
      <c r="K134" s="497"/>
    </row>
    <row r="135" spans="2:12" s="365" customFormat="1" ht="17.399999999999999" hidden="1">
      <c r="B135" s="398"/>
      <c r="C135" s="388" t="s">
        <v>693</v>
      </c>
      <c r="D135" s="404" t="s">
        <v>1088</v>
      </c>
      <c r="E135" s="391"/>
      <c r="F135" s="421">
        <f>-'FC-10_DEUDAS'!N28</f>
        <v>0</v>
      </c>
      <c r="G135" s="487"/>
      <c r="H135" s="392">
        <f t="shared" ref="H135:H142" si="11">SUM(E135:G135)</f>
        <v>0</v>
      </c>
      <c r="I135" s="399"/>
      <c r="K135" s="497"/>
    </row>
    <row r="136" spans="2:12" s="365" customFormat="1" ht="17.399999999999999" hidden="1">
      <c r="B136" s="398"/>
      <c r="C136" s="388"/>
      <c r="D136" s="404" t="s">
        <v>1089</v>
      </c>
      <c r="E136" s="391"/>
      <c r="F136" s="490"/>
      <c r="G136" s="487"/>
      <c r="H136" s="392">
        <f t="shared" si="11"/>
        <v>0</v>
      </c>
      <c r="I136" s="399"/>
      <c r="K136" s="497"/>
      <c r="L136" s="394" t="s">
        <v>1062</v>
      </c>
    </row>
    <row r="137" spans="2:12" s="410" customFormat="1" ht="17.399999999999999" hidden="1">
      <c r="B137" s="407"/>
      <c r="C137" s="388"/>
      <c r="D137" s="404" t="s">
        <v>1090</v>
      </c>
      <c r="E137" s="408"/>
      <c r="F137" s="336"/>
      <c r="G137" s="333"/>
      <c r="H137" s="392">
        <f t="shared" si="11"/>
        <v>0</v>
      </c>
      <c r="I137" s="409"/>
      <c r="K137" s="497"/>
      <c r="L137" s="394" t="s">
        <v>1062</v>
      </c>
    </row>
    <row r="138" spans="2:12" s="410" customFormat="1" ht="17.399999999999999" hidden="1">
      <c r="B138" s="407"/>
      <c r="C138" s="388" t="s">
        <v>693</v>
      </c>
      <c r="D138" s="404" t="s">
        <v>1091</v>
      </c>
      <c r="E138" s="408"/>
      <c r="F138" s="421">
        <f>-'FC-10_DEUDAS'!N51</f>
        <v>0</v>
      </c>
      <c r="G138" s="487"/>
      <c r="H138" s="392">
        <f t="shared" si="11"/>
        <v>0</v>
      </c>
      <c r="I138" s="409"/>
      <c r="K138" s="497"/>
      <c r="L138" s="394"/>
    </row>
    <row r="139" spans="2:12" s="365" customFormat="1" ht="17.399999999999999" hidden="1">
      <c r="B139" s="398"/>
      <c r="C139" s="388" t="s">
        <v>693</v>
      </c>
      <c r="D139" s="404" t="s">
        <v>1092</v>
      </c>
      <c r="E139" s="391"/>
      <c r="F139" s="421">
        <f>-'FC-10_DEUDAS'!N73</f>
        <v>0</v>
      </c>
      <c r="G139" s="334"/>
      <c r="H139" s="392">
        <f t="shared" si="11"/>
        <v>0</v>
      </c>
      <c r="I139" s="399"/>
      <c r="K139" s="497"/>
    </row>
    <row r="140" spans="2:12" s="365" customFormat="1" ht="17.399999999999999" hidden="1">
      <c r="B140" s="398"/>
      <c r="C140" s="388"/>
      <c r="D140" s="404" t="s">
        <v>1093</v>
      </c>
      <c r="E140" s="391"/>
      <c r="F140" s="336"/>
      <c r="G140" s="334"/>
      <c r="H140" s="392">
        <f t="shared" si="11"/>
        <v>0</v>
      </c>
      <c r="I140" s="399"/>
      <c r="K140" s="497"/>
      <c r="L140" s="450" t="s">
        <v>1062</v>
      </c>
    </row>
    <row r="141" spans="2:12" s="365" customFormat="1" ht="17.399999999999999" hidden="1">
      <c r="B141" s="398"/>
      <c r="C141" s="492"/>
      <c r="D141" s="493"/>
      <c r="E141" s="391"/>
      <c r="F141" s="391"/>
      <c r="G141" s="334"/>
      <c r="H141" s="392">
        <f t="shared" si="11"/>
        <v>0</v>
      </c>
      <c r="I141" s="399"/>
      <c r="K141" s="497"/>
    </row>
    <row r="142" spans="2:12" s="365" customFormat="1" ht="17.399999999999999">
      <c r="B142" s="398"/>
      <c r="C142" s="494"/>
      <c r="D142" s="502"/>
      <c r="E142" s="449"/>
      <c r="F142" s="449"/>
      <c r="G142" s="489"/>
      <c r="H142" s="392">
        <f t="shared" si="11"/>
        <v>0</v>
      </c>
      <c r="I142" s="399"/>
      <c r="K142" s="497"/>
    </row>
    <row r="143" spans="2:12" s="403" customFormat="1" ht="17.399999999999999">
      <c r="B143" s="400"/>
      <c r="C143" s="1337" t="s">
        <v>1029</v>
      </c>
      <c r="D143" s="1338"/>
      <c r="E143" s="401">
        <f>+E127+E134</f>
        <v>0</v>
      </c>
      <c r="F143" s="401">
        <f>+F127+F134</f>
        <v>0</v>
      </c>
      <c r="G143" s="401">
        <f>+G127+G134</f>
        <v>0</v>
      </c>
      <c r="H143" s="401">
        <f>+H127+H134</f>
        <v>0</v>
      </c>
      <c r="I143" s="402"/>
      <c r="K143" s="497"/>
    </row>
    <row r="144" spans="2:12" s="371" customFormat="1" ht="15">
      <c r="B144" s="368"/>
      <c r="C144" s="376"/>
      <c r="D144" s="359"/>
      <c r="E144" s="360"/>
      <c r="F144" s="360"/>
      <c r="G144" s="360"/>
      <c r="H144" s="425"/>
      <c r="I144" s="370"/>
      <c r="K144" s="498"/>
    </row>
    <row r="145" spans="2:12" s="58" customFormat="1" ht="18" thickBot="1">
      <c r="B145" s="411"/>
      <c r="C145" s="1346" t="s">
        <v>1094</v>
      </c>
      <c r="D145" s="1347"/>
      <c r="E145" s="451">
        <f>+E114+E125+E143</f>
        <v>1329611.6399999999</v>
      </c>
      <c r="F145" s="451">
        <f>+F114+F125+F143</f>
        <v>10000</v>
      </c>
      <c r="G145" s="451">
        <f>+G114+G125+G143</f>
        <v>0</v>
      </c>
      <c r="H145" s="451">
        <f>+H114+H125+H143</f>
        <v>1339611.6399999999</v>
      </c>
      <c r="I145" s="412"/>
      <c r="K145" s="497"/>
    </row>
    <row r="146" spans="2:12" s="371" customFormat="1" ht="15.6">
      <c r="B146" s="368"/>
      <c r="C146" s="96"/>
      <c r="D146" s="376"/>
      <c r="E146" s="360"/>
      <c r="F146" s="360"/>
      <c r="G146" s="360"/>
      <c r="H146" s="56"/>
      <c r="I146" s="370"/>
      <c r="K146" s="498"/>
    </row>
    <row r="147" spans="2:12" s="371" customFormat="1" ht="18" thickBot="1">
      <c r="B147" s="368"/>
      <c r="C147" s="452" t="s">
        <v>1095</v>
      </c>
      <c r="D147" s="453"/>
      <c r="E147" s="454">
        <f>E74-E145</f>
        <v>13221.520000000019</v>
      </c>
      <c r="F147" s="454">
        <f>F74-F145</f>
        <v>-186934.32999999996</v>
      </c>
      <c r="G147" s="454">
        <f>G74-G145</f>
        <v>0</v>
      </c>
      <c r="H147" s="454">
        <f>H74-H145</f>
        <v>-173712.80999999982</v>
      </c>
      <c r="I147" s="370"/>
      <c r="K147" s="497"/>
    </row>
    <row r="148" spans="2:12" s="371" customFormat="1" ht="16.2" thickTop="1">
      <c r="B148" s="368"/>
      <c r="C148" s="96"/>
      <c r="D148" s="376"/>
      <c r="E148" s="360"/>
      <c r="F148" s="360"/>
      <c r="G148" s="360"/>
      <c r="H148" s="56"/>
      <c r="I148" s="370"/>
      <c r="K148" s="498"/>
    </row>
    <row r="149" spans="2:12" s="371" customFormat="1" ht="15.6">
      <c r="B149" s="368"/>
      <c r="C149" s="96"/>
      <c r="D149" s="376"/>
      <c r="E149" s="360"/>
      <c r="F149" s="360"/>
      <c r="G149" s="360"/>
      <c r="H149" s="56"/>
      <c r="I149" s="370"/>
      <c r="K149" s="498"/>
    </row>
    <row r="150" spans="2:12" s="425" customFormat="1" ht="17.399999999999999">
      <c r="B150" s="455"/>
      <c r="C150" s="1348" t="s">
        <v>1031</v>
      </c>
      <c r="D150" s="1349"/>
      <c r="E150" s="456">
        <f>SUM(E151:E157)</f>
        <v>17420.98</v>
      </c>
      <c r="F150" s="457">
        <f>SUM(F151:F157)</f>
        <v>0</v>
      </c>
      <c r="G150" s="457">
        <f>SUM(G151:G157)</f>
        <v>0</v>
      </c>
      <c r="H150" s="457">
        <f>SUM(H151:H157)</f>
        <v>17420.98</v>
      </c>
      <c r="I150" s="458"/>
      <c r="K150" s="497"/>
    </row>
    <row r="151" spans="2:12" s="365" customFormat="1" ht="17.399999999999999" hidden="1">
      <c r="B151" s="398"/>
      <c r="C151" s="388" t="s">
        <v>334</v>
      </c>
      <c r="D151" s="389" t="s">
        <v>256</v>
      </c>
      <c r="E151" s="390">
        <f>IF('FC-3_CPyG'!H28&lt;0,-'FC-3_CPyG'!H28,0)</f>
        <v>0</v>
      </c>
      <c r="F151" s="391"/>
      <c r="G151" s="391"/>
      <c r="H151" s="392">
        <f>SUM(E151:G151)</f>
        <v>0</v>
      </c>
      <c r="I151" s="399"/>
      <c r="K151" s="497"/>
      <c r="L151" s="365" t="s">
        <v>1096</v>
      </c>
    </row>
    <row r="152" spans="2:12" s="371" customFormat="1" ht="17.399999999999999" hidden="1">
      <c r="B152" s="368"/>
      <c r="C152" s="388" t="s">
        <v>334</v>
      </c>
      <c r="D152" s="389" t="s">
        <v>274</v>
      </c>
      <c r="E152" s="390">
        <f>-'FC-3_CPyG'!H40</f>
        <v>17420.98</v>
      </c>
      <c r="F152" s="391"/>
      <c r="G152" s="391"/>
      <c r="H152" s="392">
        <f t="shared" ref="H152:H157" si="12">SUM(E152:G152)</f>
        <v>17420.98</v>
      </c>
      <c r="I152" s="370"/>
      <c r="K152" s="497"/>
    </row>
    <row r="153" spans="2:12" s="371" customFormat="1" ht="17.399999999999999" hidden="1">
      <c r="B153" s="368"/>
      <c r="C153" s="388" t="s">
        <v>334</v>
      </c>
      <c r="D153" s="389" t="s">
        <v>1097</v>
      </c>
      <c r="E153" s="390">
        <f>IF('FC-3_CPyG'!H43&lt;0,-'FC-3_CPyG'!H43,0)</f>
        <v>0</v>
      </c>
      <c r="F153" s="391"/>
      <c r="G153" s="391"/>
      <c r="H153" s="392">
        <f t="shared" si="12"/>
        <v>0</v>
      </c>
      <c r="I153" s="370"/>
      <c r="K153" s="497"/>
    </row>
    <row r="154" spans="2:12" s="371" customFormat="1" ht="17.399999999999999" hidden="1">
      <c r="B154" s="368"/>
      <c r="C154" s="388" t="s">
        <v>334</v>
      </c>
      <c r="D154" s="389" t="s">
        <v>1098</v>
      </c>
      <c r="E154" s="390">
        <f>IF('FC-3_CPyG'!H54&lt;0,-'FC-3_CPyG'!H54,0)</f>
        <v>0</v>
      </c>
      <c r="F154" s="391"/>
      <c r="G154" s="391"/>
      <c r="H154" s="392">
        <f t="shared" si="12"/>
        <v>0</v>
      </c>
      <c r="I154" s="370"/>
      <c r="K154" s="497"/>
    </row>
    <row r="155" spans="2:12" s="371" customFormat="1" ht="17.399999999999999" hidden="1">
      <c r="B155" s="368"/>
      <c r="C155" s="388" t="s">
        <v>1099</v>
      </c>
      <c r="D155" s="389" t="s">
        <v>1100</v>
      </c>
      <c r="E155" s="390">
        <f>'FC-3_1_INF_ADIC_CPyG'!E65</f>
        <v>0</v>
      </c>
      <c r="F155" s="391"/>
      <c r="G155" s="391"/>
      <c r="H155" s="392">
        <f t="shared" si="12"/>
        <v>0</v>
      </c>
      <c r="I155" s="370"/>
      <c r="K155" s="497"/>
    </row>
    <row r="156" spans="2:12" s="371" customFormat="1" ht="17.399999999999999" hidden="1">
      <c r="B156" s="368"/>
      <c r="C156" s="388" t="s">
        <v>334</v>
      </c>
      <c r="D156" s="389" t="s">
        <v>1101</v>
      </c>
      <c r="E156" s="390">
        <f>IF('FC-3_CPyG'!H55&lt;0,-'FC-3_CPyG'!H55,0)</f>
        <v>0</v>
      </c>
      <c r="F156" s="391"/>
      <c r="G156" s="391"/>
      <c r="H156" s="392">
        <f t="shared" si="12"/>
        <v>0</v>
      </c>
      <c r="I156" s="370"/>
      <c r="K156" s="497"/>
    </row>
    <row r="157" spans="2:12" s="371" customFormat="1" ht="17.399999999999999" hidden="1">
      <c r="B157" s="368"/>
      <c r="C157" s="459"/>
      <c r="D157" s="460"/>
      <c r="E157" s="461"/>
      <c r="F157" s="461"/>
      <c r="G157" s="570"/>
      <c r="H157" s="462">
        <f t="shared" si="12"/>
        <v>0</v>
      </c>
      <c r="I157" s="370"/>
      <c r="K157" s="497"/>
    </row>
    <row r="158" spans="2:12" s="371" customFormat="1" ht="15">
      <c r="B158" s="368"/>
      <c r="C158" s="431"/>
      <c r="D158" s="463"/>
      <c r="E158" s="463"/>
      <c r="F158" s="463"/>
      <c r="G158" s="463"/>
      <c r="H158" s="463"/>
      <c r="I158" s="370"/>
      <c r="K158" s="498"/>
    </row>
    <row r="159" spans="2:12" s="371" customFormat="1" ht="18" thickBot="1">
      <c r="B159" s="368"/>
      <c r="C159" s="1340" t="s">
        <v>1102</v>
      </c>
      <c r="D159" s="1341"/>
      <c r="E159" s="433">
        <f>+E145+E150</f>
        <v>1347032.6199999999</v>
      </c>
      <c r="F159" s="433">
        <f t="shared" ref="F159:G159" si="13">+F145+F150</f>
        <v>10000</v>
      </c>
      <c r="G159" s="433">
        <f t="shared" si="13"/>
        <v>0</v>
      </c>
      <c r="H159" s="433">
        <f>+H145+H150</f>
        <v>1357032.6199999999</v>
      </c>
      <c r="I159" s="370"/>
      <c r="K159" s="497"/>
    </row>
    <row r="160" spans="2:12" s="371" customFormat="1" ht="17.399999999999999">
      <c r="B160" s="368"/>
      <c r="C160" s="464"/>
      <c r="D160" s="464"/>
      <c r="E160" s="465"/>
      <c r="F160" s="465"/>
      <c r="G160" s="465"/>
      <c r="H160" s="465"/>
      <c r="I160" s="370"/>
      <c r="K160" s="498"/>
    </row>
    <row r="161" spans="2:11" s="371" customFormat="1" ht="18" thickBot="1">
      <c r="B161" s="368"/>
      <c r="C161" s="452" t="s">
        <v>1103</v>
      </c>
      <c r="D161" s="453"/>
      <c r="E161" s="454">
        <f>+E86-E159</f>
        <v>0</v>
      </c>
      <c r="F161" s="454">
        <f>+F86-F159</f>
        <v>-186934.32999999996</v>
      </c>
      <c r="G161" s="454">
        <f>+G86-G159</f>
        <v>0</v>
      </c>
      <c r="H161" s="454">
        <f>+H86-H159</f>
        <v>-186934.32999999984</v>
      </c>
      <c r="I161" s="370"/>
      <c r="K161" s="497"/>
    </row>
    <row r="162" spans="2:11" s="371" customFormat="1" ht="15.6" thickTop="1">
      <c r="B162" s="368"/>
      <c r="C162" s="431"/>
      <c r="D162" s="431"/>
      <c r="E162" s="466"/>
      <c r="F162" s="466"/>
      <c r="G162" s="466"/>
      <c r="H162" s="467"/>
      <c r="I162" s="370"/>
      <c r="K162" s="498"/>
    </row>
    <row r="163" spans="2:11" s="371" customFormat="1" ht="17.399999999999999">
      <c r="B163" s="368"/>
      <c r="C163" s="1350" t="s">
        <v>1104</v>
      </c>
      <c r="D163" s="1351"/>
      <c r="E163" s="468">
        <f>E164+E171+E173+E180+E190+E194</f>
        <v>0</v>
      </c>
      <c r="F163" s="468">
        <f>F164+F171+F173+F180+F190+F194</f>
        <v>186934.32579999999</v>
      </c>
      <c r="G163" s="468">
        <f>G164+G171+G173+G180+G190+G194</f>
        <v>0</v>
      </c>
      <c r="H163" s="468">
        <f>H164+H171+H173+H180+H190+H194</f>
        <v>186934.32579999999</v>
      </c>
      <c r="I163" s="370"/>
      <c r="K163" s="497"/>
    </row>
    <row r="164" spans="2:11" s="371" customFormat="1" ht="17.399999999999999" hidden="1">
      <c r="B164" s="368"/>
      <c r="C164" s="469" t="s">
        <v>404</v>
      </c>
      <c r="D164" s="404"/>
      <c r="E164" s="470"/>
      <c r="F164" s="1328">
        <f>SUM(F167:F170)</f>
        <v>17420.98</v>
      </c>
      <c r="G164" s="1328">
        <f>SUM(G167:G170)</f>
        <v>0</v>
      </c>
      <c r="H164" s="1328">
        <f>F164+G164</f>
        <v>17420.98</v>
      </c>
      <c r="I164" s="370"/>
      <c r="K164" s="497"/>
    </row>
    <row r="165" spans="2:11" s="371" customFormat="1" ht="17.399999999999999" hidden="1">
      <c r="B165" s="368"/>
      <c r="C165" s="471" t="s">
        <v>408</v>
      </c>
      <c r="D165" s="404"/>
      <c r="E165" s="470"/>
      <c r="F165" s="1329"/>
      <c r="G165" s="1329"/>
      <c r="H165" s="1329"/>
      <c r="I165" s="370"/>
      <c r="K165" s="497"/>
    </row>
    <row r="166" spans="2:11" s="371" customFormat="1" ht="17.399999999999999" hidden="1">
      <c r="B166" s="368"/>
      <c r="C166" s="471" t="s">
        <v>410</v>
      </c>
      <c r="D166" s="404"/>
      <c r="E166" s="470"/>
      <c r="F166" s="1330"/>
      <c r="G166" s="1330"/>
      <c r="H166" s="1330"/>
      <c r="I166" s="370"/>
      <c r="K166" s="497"/>
    </row>
    <row r="167" spans="2:11" s="371" customFormat="1" ht="17.399999999999999" hidden="1">
      <c r="B167" s="368"/>
      <c r="C167" s="388" t="s">
        <v>532</v>
      </c>
      <c r="D167" s="404" t="s">
        <v>1105</v>
      </c>
      <c r="E167" s="391"/>
      <c r="F167" s="416">
        <f>-'FC-7_INF'!G31</f>
        <v>0</v>
      </c>
      <c r="G167" s="486"/>
      <c r="H167" s="392"/>
      <c r="I167" s="370"/>
      <c r="K167" s="497"/>
    </row>
    <row r="168" spans="2:11" s="371" customFormat="1" ht="17.399999999999999" hidden="1">
      <c r="B168" s="368"/>
      <c r="C168" s="388" t="s">
        <v>532</v>
      </c>
      <c r="D168" s="404" t="s">
        <v>1106</v>
      </c>
      <c r="E168" s="391"/>
      <c r="F168" s="416">
        <f>-'FC-7_INF'!I31</f>
        <v>17420.98</v>
      </c>
      <c r="G168" s="486"/>
      <c r="H168" s="392"/>
      <c r="I168" s="370"/>
      <c r="K168" s="497"/>
    </row>
    <row r="169" spans="2:11" s="371" customFormat="1" ht="17.399999999999999" hidden="1">
      <c r="B169" s="368"/>
      <c r="C169" s="388" t="s">
        <v>532</v>
      </c>
      <c r="D169" s="404" t="s">
        <v>1107</v>
      </c>
      <c r="E169" s="391"/>
      <c r="F169" s="416">
        <f>-'FC-7_INF'!J31</f>
        <v>0</v>
      </c>
      <c r="G169" s="486"/>
      <c r="H169" s="392"/>
      <c r="I169" s="370"/>
      <c r="K169" s="497"/>
    </row>
    <row r="170" spans="2:11" s="371" customFormat="1" ht="17.399999999999999" hidden="1">
      <c r="B170" s="368"/>
      <c r="C170" s="388" t="s">
        <v>532</v>
      </c>
      <c r="D170" s="404" t="s">
        <v>1108</v>
      </c>
      <c r="E170" s="391"/>
      <c r="F170" s="416">
        <f>-'FC-7_INF'!L31</f>
        <v>0</v>
      </c>
      <c r="G170" s="486"/>
      <c r="H170" s="392"/>
      <c r="I170" s="370"/>
      <c r="K170" s="497"/>
    </row>
    <row r="171" spans="2:11" s="371" customFormat="1" ht="17.399999999999999" hidden="1">
      <c r="B171" s="368"/>
      <c r="C171" s="471" t="s">
        <v>37</v>
      </c>
      <c r="D171" s="404"/>
      <c r="E171" s="391"/>
      <c r="F171" s="472">
        <f>F172</f>
        <v>0</v>
      </c>
      <c r="G171" s="472">
        <f>G172</f>
        <v>0</v>
      </c>
      <c r="H171" s="473">
        <f>F171+G171</f>
        <v>0</v>
      </c>
      <c r="I171" s="370"/>
      <c r="K171" s="497"/>
    </row>
    <row r="172" spans="2:11" s="371" customFormat="1" ht="17.399999999999999" hidden="1">
      <c r="B172" s="368"/>
      <c r="C172" s="388" t="s">
        <v>562</v>
      </c>
      <c r="D172" s="404" t="s">
        <v>543</v>
      </c>
      <c r="E172" s="391"/>
      <c r="F172" s="416">
        <f>-'FC-8_INV_FINANCIERAS'!I25-'FC-8_INV_FINANCIERAS'!I34-'FC-8_INV_FINANCIERAS'!I49-'FC-8_INV_FINANCIERAS'!I58</f>
        <v>0</v>
      </c>
      <c r="G172" s="486"/>
      <c r="H172" s="392"/>
      <c r="I172" s="370"/>
      <c r="K172" s="497"/>
    </row>
    <row r="173" spans="2:11" s="371" customFormat="1" ht="17.399999999999999" hidden="1">
      <c r="B173" s="368"/>
      <c r="C173" s="471" t="s">
        <v>1109</v>
      </c>
      <c r="D173" s="404"/>
      <c r="E173" s="391"/>
      <c r="F173" s="472">
        <f>SUM(F174:F179)</f>
        <v>170165.47</v>
      </c>
      <c r="G173" s="472">
        <f>SUM(G175:G179)</f>
        <v>0</v>
      </c>
      <c r="H173" s="473">
        <f>F173+G173</f>
        <v>170165.47</v>
      </c>
      <c r="I173" s="370"/>
      <c r="K173" s="497"/>
    </row>
    <row r="174" spans="2:11" s="371" customFormat="1" ht="17.399999999999999" hidden="1">
      <c r="B174" s="368"/>
      <c r="C174" s="388" t="s">
        <v>1110</v>
      </c>
      <c r="D174" s="404" t="s">
        <v>1111</v>
      </c>
      <c r="E174" s="391"/>
      <c r="F174" s="416">
        <f>'FC-4_ACTIVO'!G23-'FC-4_ACTIVO'!H23</f>
        <v>0</v>
      </c>
      <c r="G174" s="486"/>
      <c r="H174" s="392"/>
      <c r="I174" s="370"/>
      <c r="K174" s="497"/>
    </row>
    <row r="175" spans="2:11" s="371" customFormat="1" ht="17.399999999999999" hidden="1">
      <c r="B175" s="368"/>
      <c r="C175" s="388" t="s">
        <v>1110</v>
      </c>
      <c r="D175" s="404" t="s">
        <v>1112</v>
      </c>
      <c r="E175" s="391"/>
      <c r="F175" s="416">
        <f>'FC-4_ACTIVO'!G26-'FC-4_ACTIVO'!H26</f>
        <v>-2000</v>
      </c>
      <c r="G175" s="486"/>
      <c r="H175" s="392"/>
      <c r="I175" s="370"/>
      <c r="K175" s="497"/>
    </row>
    <row r="176" spans="2:11" s="371" customFormat="1" ht="17.399999999999999" hidden="1">
      <c r="B176" s="368"/>
      <c r="C176" s="388" t="s">
        <v>1110</v>
      </c>
      <c r="D176" s="404" t="s">
        <v>1113</v>
      </c>
      <c r="E176" s="391"/>
      <c r="F176" s="416">
        <f>'FC-4_ACTIVO'!G27-'FC-4_ACTIVO'!H27</f>
        <v>0</v>
      </c>
      <c r="G176" s="486"/>
      <c r="H176" s="392"/>
      <c r="I176" s="370"/>
      <c r="K176" s="497"/>
    </row>
    <row r="177" spans="2:11" s="371" customFormat="1" ht="17.399999999999999" hidden="1">
      <c r="B177" s="368"/>
      <c r="C177" s="388" t="s">
        <v>1110</v>
      </c>
      <c r="D177" s="404" t="s">
        <v>1114</v>
      </c>
      <c r="E177" s="391"/>
      <c r="F177" s="416">
        <f>'FC-4_ACTIVO'!G28-'FC-4_ACTIVO'!H28</f>
        <v>29206.140000000014</v>
      </c>
      <c r="G177" s="486"/>
      <c r="H177" s="392"/>
      <c r="I177" s="370"/>
      <c r="K177" s="497"/>
    </row>
    <row r="178" spans="2:11" s="371" customFormat="1" ht="17.399999999999999" hidden="1">
      <c r="B178" s="368"/>
      <c r="C178" s="388" t="s">
        <v>1110</v>
      </c>
      <c r="D178" s="404" t="s">
        <v>1115</v>
      </c>
      <c r="E178" s="391"/>
      <c r="F178" s="416">
        <f>'FC-4_ACTIVO'!G33-'FC-4_ACTIVO'!H33</f>
        <v>0</v>
      </c>
      <c r="G178" s="486"/>
      <c r="H178" s="392"/>
      <c r="I178" s="370"/>
      <c r="K178" s="497"/>
    </row>
    <row r="179" spans="2:11" s="371" customFormat="1" ht="17.399999999999999" hidden="1">
      <c r="B179" s="368"/>
      <c r="C179" s="388" t="s">
        <v>1110</v>
      </c>
      <c r="D179" s="404" t="s">
        <v>1116</v>
      </c>
      <c r="E179" s="391"/>
      <c r="F179" s="416">
        <f>'FC-4_ACTIVO'!G34-'FC-4_ACTIVO'!H34</f>
        <v>142959.32999999999</v>
      </c>
      <c r="G179" s="486"/>
      <c r="H179" s="392"/>
      <c r="I179" s="370"/>
      <c r="K179" s="497"/>
    </row>
    <row r="180" spans="2:11" s="371" customFormat="1" ht="17.399999999999999" hidden="1">
      <c r="B180" s="368"/>
      <c r="C180" s="471" t="s">
        <v>1117</v>
      </c>
      <c r="D180" s="404"/>
      <c r="E180" s="391"/>
      <c r="F180" s="472">
        <f>SUM(F181:F189)</f>
        <v>2581.4599999999964</v>
      </c>
      <c r="G180" s="472">
        <f>SUM(G181:G187)</f>
        <v>0</v>
      </c>
      <c r="H180" s="473">
        <f>F180+G180</f>
        <v>2581.4599999999964</v>
      </c>
      <c r="I180" s="370"/>
      <c r="K180" s="497"/>
    </row>
    <row r="181" spans="2:11" s="371" customFormat="1" ht="17.399999999999999" hidden="1">
      <c r="B181" s="368"/>
      <c r="C181" s="388" t="s">
        <v>1118</v>
      </c>
      <c r="D181" s="404" t="s">
        <v>1119</v>
      </c>
      <c r="E181" s="391"/>
      <c r="F181" s="416">
        <f>'FC-4_PASIVO'!H28-'FC-4_PASIVO'!G28</f>
        <v>0</v>
      </c>
      <c r="G181" s="472"/>
      <c r="H181" s="473"/>
      <c r="I181" s="370"/>
      <c r="K181" s="497"/>
    </row>
    <row r="182" spans="2:11" s="371" customFormat="1" ht="17.399999999999999" hidden="1">
      <c r="B182" s="368"/>
      <c r="C182" s="388" t="s">
        <v>1118</v>
      </c>
      <c r="D182" s="404" t="s">
        <v>1120</v>
      </c>
      <c r="E182" s="391"/>
      <c r="F182" s="416">
        <f>'FC-4_PASIVO'!H42-'FC-4_PASIVO'!G42</f>
        <v>0</v>
      </c>
      <c r="G182" s="472"/>
      <c r="H182" s="473"/>
      <c r="I182" s="370"/>
      <c r="K182" s="497"/>
    </row>
    <row r="183" spans="2:11" s="371" customFormat="1" ht="17.399999999999999" hidden="1">
      <c r="B183" s="368"/>
      <c r="C183" s="388" t="s">
        <v>1118</v>
      </c>
      <c r="D183" s="404" t="s">
        <v>1121</v>
      </c>
      <c r="E183" s="391"/>
      <c r="F183" s="416">
        <f>'FC-9_TRANS_SUBV'!L43</f>
        <v>-965.88</v>
      </c>
      <c r="G183" s="486"/>
      <c r="H183" s="392"/>
      <c r="I183" s="370"/>
      <c r="K183" s="497"/>
    </row>
    <row r="184" spans="2:11" s="371" customFormat="1" ht="17.399999999999999" hidden="1">
      <c r="B184" s="368"/>
      <c r="C184" s="388" t="s">
        <v>1118</v>
      </c>
      <c r="D184" s="404" t="s">
        <v>1122</v>
      </c>
      <c r="E184" s="391"/>
      <c r="F184" s="416">
        <f>'FC-4_PASIVO'!H39-'FC-4_PASIVO'!G39</f>
        <v>0</v>
      </c>
      <c r="G184" s="486"/>
      <c r="H184" s="392"/>
      <c r="I184" s="370"/>
      <c r="K184" s="497"/>
    </row>
    <row r="185" spans="2:11" s="371" customFormat="1" ht="17.399999999999999" hidden="1">
      <c r="B185" s="368"/>
      <c r="C185" s="388" t="s">
        <v>1118</v>
      </c>
      <c r="D185" s="404" t="s">
        <v>1123</v>
      </c>
      <c r="E185" s="391"/>
      <c r="F185" s="416">
        <f>'FC-4_PASIVO'!H50-'FC-4_PASIVO'!G50</f>
        <v>0</v>
      </c>
      <c r="G185" s="486"/>
      <c r="H185" s="392"/>
      <c r="I185" s="370"/>
      <c r="K185" s="497"/>
    </row>
    <row r="186" spans="2:11" s="371" customFormat="1" ht="17.399999999999999" hidden="1">
      <c r="B186" s="368"/>
      <c r="C186" s="388" t="s">
        <v>1118</v>
      </c>
      <c r="D186" s="404" t="s">
        <v>1124</v>
      </c>
      <c r="E186" s="391"/>
      <c r="F186" s="416">
        <f>'FC-4_PASIVO'!H51-'FC-4_PASIVO'!G51</f>
        <v>3547.3399999999965</v>
      </c>
      <c r="G186" s="486"/>
      <c r="H186" s="392"/>
      <c r="I186" s="370"/>
      <c r="K186" s="497"/>
    </row>
    <row r="187" spans="2:11" s="371" customFormat="1" ht="17.399999999999999" hidden="1">
      <c r="B187" s="368"/>
      <c r="C187" s="388" t="s">
        <v>1118</v>
      </c>
      <c r="D187" s="404" t="s">
        <v>1115</v>
      </c>
      <c r="E187" s="391"/>
      <c r="F187" s="416">
        <f>'FC-4_PASIVO'!H56-'FC-4_PASIVO'!G56</f>
        <v>0</v>
      </c>
      <c r="G187" s="486"/>
      <c r="H187" s="392"/>
      <c r="I187" s="370"/>
      <c r="K187" s="497"/>
    </row>
    <row r="188" spans="2:11" s="371" customFormat="1" ht="17.399999999999999" hidden="1">
      <c r="B188" s="368"/>
      <c r="C188" s="388"/>
      <c r="D188" s="404"/>
      <c r="E188" s="391"/>
      <c r="F188" s="416"/>
      <c r="G188" s="486"/>
      <c r="H188" s="392"/>
      <c r="I188" s="370"/>
      <c r="K188" s="497"/>
    </row>
    <row r="189" spans="2:11" s="371" customFormat="1" ht="17.399999999999999" hidden="1">
      <c r="B189" s="368"/>
      <c r="C189" s="388" t="s">
        <v>693</v>
      </c>
      <c r="D189" s="863" t="s">
        <v>1125</v>
      </c>
      <c r="E189" s="391"/>
      <c r="F189" s="416">
        <f>'FC-10_DEUDAS'!O50</f>
        <v>0</v>
      </c>
      <c r="G189" s="486"/>
      <c r="H189" s="392"/>
      <c r="I189" s="370"/>
      <c r="K189" s="497"/>
    </row>
    <row r="190" spans="2:11" s="371" customFormat="1" ht="17.399999999999999" hidden="1">
      <c r="B190" s="368"/>
      <c r="C190" s="471" t="s">
        <v>1126</v>
      </c>
      <c r="D190" s="404"/>
      <c r="E190" s="391"/>
      <c r="F190" s="472">
        <f>F191+F192+F193</f>
        <v>-3233.5842000000002</v>
      </c>
      <c r="G190" s="472">
        <f>G191+G192+G193</f>
        <v>0</v>
      </c>
      <c r="H190" s="473">
        <f>F190+G190</f>
        <v>-3233.5842000000002</v>
      </c>
      <c r="I190" s="370"/>
      <c r="K190" s="497"/>
    </row>
    <row r="191" spans="2:11" s="371" customFormat="1" ht="17.399999999999999" hidden="1">
      <c r="B191" s="368"/>
      <c r="C191" s="388" t="s">
        <v>1118</v>
      </c>
      <c r="D191" s="404" t="s">
        <v>1127</v>
      </c>
      <c r="E191" s="391"/>
      <c r="F191" s="416">
        <f>'FC-9_TRANS_SUBV'!K43</f>
        <v>-3233.5842000000002</v>
      </c>
      <c r="G191" s="416">
        <v>0</v>
      </c>
      <c r="H191" s="392"/>
      <c r="I191" s="370"/>
      <c r="K191" s="497"/>
    </row>
    <row r="192" spans="2:11" s="371" customFormat="1" ht="17.399999999999999" hidden="1">
      <c r="B192" s="368"/>
      <c r="C192" s="388" t="s">
        <v>1128</v>
      </c>
      <c r="D192" s="404" t="s">
        <v>1129</v>
      </c>
      <c r="E192" s="391"/>
      <c r="F192" s="416">
        <f>'FC-3_CPyG'!H82+'FC-3_CPyG'!H83</f>
        <v>0</v>
      </c>
      <c r="G192" s="416"/>
      <c r="H192" s="598"/>
      <c r="I192" s="370"/>
      <c r="K192" s="497"/>
    </row>
    <row r="193" spans="2:11" s="371" customFormat="1" ht="17.399999999999999" hidden="1">
      <c r="B193" s="368"/>
      <c r="C193" s="388"/>
      <c r="D193" s="404"/>
      <c r="E193" s="391"/>
      <c r="F193" s="416"/>
      <c r="G193" s="416"/>
      <c r="H193" s="598"/>
      <c r="I193" s="370"/>
      <c r="K193" s="497"/>
    </row>
    <row r="194" spans="2:11" s="371" customFormat="1" ht="17.399999999999999" hidden="1">
      <c r="B194" s="368"/>
      <c r="C194" s="471" t="s">
        <v>1130</v>
      </c>
      <c r="D194" s="404"/>
      <c r="E194" s="391"/>
      <c r="F194" s="472">
        <f>SUM(F195:F199)</f>
        <v>0</v>
      </c>
      <c r="G194" s="472">
        <f>SUM(G195:G199)</f>
        <v>0</v>
      </c>
      <c r="H194" s="472">
        <f>SUM(F194:G194)</f>
        <v>0</v>
      </c>
      <c r="I194" s="370"/>
      <c r="K194" s="497"/>
    </row>
    <row r="195" spans="2:11" s="371" customFormat="1" ht="17.399999999999999" hidden="1">
      <c r="B195" s="368"/>
      <c r="C195" s="492"/>
      <c r="D195" s="493"/>
      <c r="E195" s="391"/>
      <c r="F195" s="486"/>
      <c r="G195" s="486"/>
      <c r="H195" s="392"/>
      <c r="I195" s="370"/>
      <c r="K195" s="497"/>
    </row>
    <row r="196" spans="2:11" s="371" customFormat="1" ht="17.399999999999999" hidden="1">
      <c r="B196" s="368"/>
      <c r="C196" s="492"/>
      <c r="D196" s="493"/>
      <c r="E196" s="391"/>
      <c r="F196" s="486"/>
      <c r="G196" s="486"/>
      <c r="H196" s="392"/>
      <c r="I196" s="370"/>
      <c r="K196" s="497"/>
    </row>
    <row r="197" spans="2:11" s="371" customFormat="1" ht="17.399999999999999" hidden="1">
      <c r="B197" s="368"/>
      <c r="C197" s="492"/>
      <c r="D197" s="493"/>
      <c r="E197" s="391"/>
      <c r="F197" s="486"/>
      <c r="G197" s="486"/>
      <c r="H197" s="392"/>
      <c r="I197" s="370"/>
      <c r="K197" s="497"/>
    </row>
    <row r="198" spans="2:11" s="371" customFormat="1" ht="17.399999999999999" hidden="1">
      <c r="B198" s="368"/>
      <c r="C198" s="494"/>
      <c r="D198" s="493"/>
      <c r="E198" s="449"/>
      <c r="F198" s="488"/>
      <c r="G198" s="488"/>
      <c r="H198" s="392"/>
      <c r="I198" s="370"/>
      <c r="K198" s="497"/>
    </row>
    <row r="199" spans="2:11" s="371" customFormat="1" ht="18" hidden="1" thickBot="1">
      <c r="B199" s="368"/>
      <c r="C199" s="495"/>
      <c r="D199" s="496"/>
      <c r="E199" s="474"/>
      <c r="F199" s="491"/>
      <c r="G199" s="491"/>
      <c r="H199" s="475"/>
      <c r="I199" s="370"/>
      <c r="K199" s="497"/>
    </row>
    <row r="200" spans="2:11" s="371" customFormat="1" ht="15">
      <c r="B200" s="368"/>
      <c r="C200" s="431"/>
      <c r="D200" s="463"/>
      <c r="E200" s="463"/>
      <c r="F200" s="463"/>
      <c r="G200" s="463"/>
      <c r="H200" s="467"/>
      <c r="I200" s="370"/>
    </row>
    <row r="201" spans="2:11" ht="15.6" thickBot="1">
      <c r="B201" s="476"/>
      <c r="C201" s="1339"/>
      <c r="D201" s="1339"/>
      <c r="E201" s="477"/>
      <c r="F201" s="477"/>
      <c r="G201" s="477"/>
      <c r="H201" s="50"/>
      <c r="I201" s="478"/>
      <c r="K201" s="371"/>
    </row>
    <row r="202" spans="2:11" ht="13.2"/>
    <row r="203" spans="2:11" ht="13.2">
      <c r="C203" s="479" t="s">
        <v>52</v>
      </c>
      <c r="H203" s="29" t="s">
        <v>1131</v>
      </c>
    </row>
    <row r="204" spans="2:11" ht="13.2">
      <c r="C204" s="479" t="s">
        <v>54</v>
      </c>
    </row>
    <row r="205" spans="2:11" ht="13.2">
      <c r="C205" s="479" t="s">
        <v>55</v>
      </c>
    </row>
    <row r="206" spans="2:11" ht="13.2">
      <c r="C206" s="479" t="s">
        <v>56</v>
      </c>
    </row>
    <row r="207" spans="2:11" ht="13.2">
      <c r="C207" s="479" t="s">
        <v>57</v>
      </c>
    </row>
    <row r="208" spans="2:11" ht="13.2"/>
    <row r="209" spans="3:7" ht="13.2"/>
    <row r="210" spans="3:7" ht="13.2"/>
    <row r="211" spans="3:7" s="365" customFormat="1" ht="21">
      <c r="C211" s="480" t="s">
        <v>1132</v>
      </c>
      <c r="D211" s="32"/>
      <c r="E211" s="358"/>
      <c r="F211" s="481"/>
      <c r="G211" s="481"/>
    </row>
    <row r="212" spans="3:7" ht="13.2"/>
    <row r="213" spans="3:7" ht="13.2"/>
    <row r="214" spans="3:7" ht="18" thickBot="1">
      <c r="C214" s="452" t="s">
        <v>1103</v>
      </c>
      <c r="D214" s="453"/>
      <c r="E214" s="454"/>
    </row>
    <row r="215" spans="3:7" ht="13.8" thickTop="1">
      <c r="D215" s="32" t="s">
        <v>1133</v>
      </c>
      <c r="E215" s="358">
        <f>+E161</f>
        <v>0</v>
      </c>
    </row>
    <row r="216" spans="3:7" ht="13.2">
      <c r="D216" s="32" t="s">
        <v>1134</v>
      </c>
      <c r="E216" s="358">
        <f>'FC-3_CPyG'!H62</f>
        <v>-9.822542779147625E-11</v>
      </c>
    </row>
    <row r="217" spans="3:7" ht="13.2">
      <c r="E217" s="482" t="str">
        <f>IF(ROUND(E215-E216,2)=0,"OK","Mal, revísalo")</f>
        <v>OK</v>
      </c>
    </row>
    <row r="218" spans="3:7" ht="13.2"/>
    <row r="219" spans="3:7" ht="13.2">
      <c r="D219" s="32" t="s">
        <v>1135</v>
      </c>
      <c r="E219" s="358">
        <f>+H161</f>
        <v>-186934.32999999984</v>
      </c>
    </row>
    <row r="220" spans="3:7" ht="13.2">
      <c r="D220" s="32" t="s">
        <v>1136</v>
      </c>
      <c r="E220" s="358">
        <f>+H163</f>
        <v>186934.32579999999</v>
      </c>
    </row>
    <row r="221" spans="3:7" ht="13.2">
      <c r="E221" s="482" t="str">
        <f>IF(ROUND(E219+E220,2)=0,"OK","Revísalo")</f>
        <v>OK</v>
      </c>
    </row>
    <row r="222" spans="3:7" ht="13.2">
      <c r="E222" s="482"/>
    </row>
    <row r="223" spans="3:7" ht="13.2">
      <c r="E223" s="482"/>
    </row>
    <row r="224" spans="3:7" ht="18" thickBot="1">
      <c r="C224" s="452" t="s">
        <v>1137</v>
      </c>
      <c r="D224" s="453"/>
      <c r="E224" s="454"/>
    </row>
    <row r="225" spans="3:6" ht="13.8" thickTop="1">
      <c r="C225" s="781" t="s">
        <v>636</v>
      </c>
      <c r="D225" s="32" t="s">
        <v>1138</v>
      </c>
      <c r="E225" s="358">
        <f>'FC-9_TRANS_SUBV'!N41</f>
        <v>0</v>
      </c>
    </row>
    <row r="226" spans="3:6" ht="13.2">
      <c r="C226" s="781" t="s">
        <v>636</v>
      </c>
      <c r="D226" s="32" t="s">
        <v>1139</v>
      </c>
      <c r="E226" s="358">
        <f>'FC-9_TRANS_SUBV'!J73</f>
        <v>184600</v>
      </c>
    </row>
    <row r="227" spans="3:6" ht="13.2">
      <c r="C227" s="781" t="s">
        <v>636</v>
      </c>
      <c r="D227" s="32" t="s">
        <v>1140</v>
      </c>
      <c r="E227" s="358">
        <f>'FC-9_TRANS_SUBV'!J88</f>
        <v>401000</v>
      </c>
    </row>
    <row r="228" spans="3:6" ht="13.8" thickBot="1">
      <c r="D228" s="367" t="s">
        <v>1141</v>
      </c>
      <c r="E228" s="782">
        <f>SUM(E225:E227)</f>
        <v>585600</v>
      </c>
    </row>
    <row r="229" spans="3:6" ht="13.2">
      <c r="E229" s="482"/>
    </row>
    <row r="230" spans="3:6" ht="13.2">
      <c r="C230" s="367" t="s">
        <v>1142</v>
      </c>
    </row>
    <row r="231" spans="3:6" ht="13.2">
      <c r="C231" s="783" t="s">
        <v>409</v>
      </c>
      <c r="D231" s="32" t="s">
        <v>1008</v>
      </c>
      <c r="E231" s="358">
        <f>H30</f>
        <v>425000</v>
      </c>
    </row>
    <row r="232" spans="3:6" ht="13.2">
      <c r="C232" s="783" t="s">
        <v>415</v>
      </c>
      <c r="D232" s="32" t="s">
        <v>1012</v>
      </c>
      <c r="E232" s="358">
        <f>H49</f>
        <v>0</v>
      </c>
    </row>
    <row r="233" spans="3:6" ht="13.2">
      <c r="C233" s="783" t="s">
        <v>1016</v>
      </c>
      <c r="D233" s="32" t="s">
        <v>1143</v>
      </c>
      <c r="E233" s="358">
        <f>E234+E235</f>
        <v>160600</v>
      </c>
      <c r="F233" s="784" t="str">
        <f>IF(ROUND(E233-E234-E235,29)=0,"Ok","Revísalo")</f>
        <v>Ok</v>
      </c>
    </row>
    <row r="234" spans="3:6" ht="13.2">
      <c r="C234" s="783"/>
      <c r="D234" s="785" t="s">
        <v>1144</v>
      </c>
      <c r="E234" s="786">
        <f>'FC-9_1_SUBV_REINT'!N61</f>
        <v>160600</v>
      </c>
      <c r="F234" s="32"/>
    </row>
    <row r="235" spans="3:6" ht="13.2">
      <c r="C235" s="783"/>
      <c r="D235" s="785" t="s">
        <v>1145</v>
      </c>
      <c r="E235" s="786">
        <f>'FC-9_1_SUBV_REINT'!N64</f>
        <v>0</v>
      </c>
      <c r="F235" s="32"/>
    </row>
    <row r="236" spans="3:6" ht="13.8" thickBot="1">
      <c r="E236" s="782">
        <f>SUM(E231:E233)</f>
        <v>585600</v>
      </c>
      <c r="F236" s="32"/>
    </row>
    <row r="237" spans="3:6" ht="13.2">
      <c r="E237" s="482" t="str">
        <f>IF(ROUND(E228,2)-ROUND(E236,2)=0,"Ok","Revísalo")</f>
        <v>Ok</v>
      </c>
      <c r="F237" s="32"/>
    </row>
    <row r="238" spans="3:6" ht="13.2"/>
    <row r="239" spans="3:6" ht="13.2"/>
    <row r="240" spans="3:6" ht="13.2"/>
  </sheetData>
  <sheetProtection algorithmName="SHA-512" hashValue="frL2ULOHhJVt2mK99J/9fnRhy2b1gUYlFXtQLvMf70ihhz1yIAeKACdGEsVrGJsTsIqymxbeTmxfzWfbHeW2TQ==" saltValue="hsXrO1kxYNrvm2qs9oHPvQ==" spinCount="100000" sheet="1" scenarios="1" selectLockedCells="1" selectUnlockedCells="1"/>
  <mergeCells count="21">
    <mergeCell ref="C201:D201"/>
    <mergeCell ref="C159:D159"/>
    <mergeCell ref="C72:D72"/>
    <mergeCell ref="C74:D74"/>
    <mergeCell ref="C76:D76"/>
    <mergeCell ref="C86:D86"/>
    <mergeCell ref="C89:D89"/>
    <mergeCell ref="C114:D114"/>
    <mergeCell ref="C125:D125"/>
    <mergeCell ref="C143:D143"/>
    <mergeCell ref="C145:D145"/>
    <mergeCell ref="C150:D150"/>
    <mergeCell ref="C163:D163"/>
    <mergeCell ref="F164:F166"/>
    <mergeCell ref="H164:H166"/>
    <mergeCell ref="G164:G166"/>
    <mergeCell ref="C54:D54"/>
    <mergeCell ref="H6:H7"/>
    <mergeCell ref="D9:H9"/>
    <mergeCell ref="C14:D14"/>
    <mergeCell ref="C43:D43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2:AQ78"/>
  <sheetViews>
    <sheetView topLeftCell="A13" zoomScale="120" zoomScaleNormal="120" workbookViewId="0">
      <selection activeCell="L24" sqref="L24"/>
    </sheetView>
  </sheetViews>
  <sheetFormatPr baseColWidth="10" defaultColWidth="10.54296875" defaultRowHeight="22.95" customHeight="1"/>
  <cols>
    <col min="1" max="1" width="4.54296875" style="339" bestFit="1" customWidth="1"/>
    <col min="2" max="2" width="3.1796875" style="339" customWidth="1"/>
    <col min="3" max="3" width="18.81640625" style="339" customWidth="1"/>
    <col min="4" max="4" width="7.54296875" style="339" customWidth="1"/>
    <col min="5" max="5" width="15.453125" style="339" customWidth="1"/>
    <col min="6" max="6" width="18.453125" style="339" customWidth="1"/>
    <col min="7" max="7" width="26.81640625" style="339" customWidth="1"/>
    <col min="8" max="8" width="13.81640625" style="339" customWidth="1"/>
    <col min="9" max="9" width="25.1796875" style="339" customWidth="1"/>
    <col min="10" max="11" width="3.54296875" style="339" customWidth="1"/>
    <col min="12" max="38" width="10.54296875" style="339"/>
    <col min="39" max="39" width="11.453125" style="339" customWidth="1"/>
    <col min="40" max="16384" width="10.54296875" style="339"/>
  </cols>
  <sheetData>
    <row r="2" spans="1:43" ht="22.95" customHeight="1">
      <c r="D2" s="318" t="str">
        <f>_GENERAL!D2</f>
        <v>Área de la Presidenta: Igualdad y Diversidad, Hacienda y Proyectos Estratégicos</v>
      </c>
    </row>
    <row r="3" spans="1:43" ht="22.95" customHeight="1">
      <c r="D3" s="318" t="str">
        <f>_CHECK_LIST!D3</f>
        <v>Dirección Insular de Hacienda</v>
      </c>
    </row>
    <row r="4" spans="1:43" ht="22.95" customHeight="1" thickBot="1">
      <c r="A4" s="339" t="s">
        <v>129</v>
      </c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</row>
    <row r="5" spans="1:43" ht="9" customHeight="1">
      <c r="B5" s="912"/>
      <c r="C5" s="913"/>
      <c r="D5" s="913"/>
      <c r="E5" s="913"/>
      <c r="F5" s="913"/>
      <c r="G5" s="913"/>
      <c r="H5" s="913"/>
      <c r="I5" s="913"/>
      <c r="J5" s="914"/>
      <c r="L5" s="1064"/>
      <c r="M5" s="1065"/>
      <c r="N5" s="1065"/>
      <c r="O5" s="1065"/>
      <c r="P5" s="1065"/>
      <c r="Q5" s="1065"/>
      <c r="R5" s="1065"/>
      <c r="S5" s="1065"/>
      <c r="T5" s="1065"/>
      <c r="U5" s="1066"/>
      <c r="V5" s="1066"/>
      <c r="W5" s="1066"/>
      <c r="X5" s="1066"/>
      <c r="Y5" s="1067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</row>
    <row r="6" spans="1:43" ht="30" customHeight="1">
      <c r="B6" s="915"/>
      <c r="C6" s="1" t="s">
        <v>2</v>
      </c>
      <c r="D6" s="9"/>
      <c r="E6" s="9"/>
      <c r="F6" s="9"/>
      <c r="H6" s="1138">
        <f>ejercicio</f>
        <v>2025</v>
      </c>
      <c r="I6" s="1138"/>
      <c r="J6" s="916"/>
      <c r="L6" s="1068"/>
      <c r="M6" s="1069" t="s">
        <v>130</v>
      </c>
      <c r="N6" s="1070"/>
      <c r="O6" s="1070"/>
      <c r="P6" s="1070"/>
      <c r="Q6" s="1070"/>
      <c r="R6" s="1070"/>
      <c r="S6" s="1070"/>
      <c r="T6" s="1070"/>
      <c r="U6" s="168"/>
      <c r="V6" s="168"/>
      <c r="W6" s="168"/>
      <c r="X6" s="168"/>
      <c r="Y6" s="169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342"/>
    </row>
    <row r="7" spans="1:43" ht="30" customHeight="1">
      <c r="B7" s="915"/>
      <c r="C7" s="1" t="s">
        <v>3</v>
      </c>
      <c r="H7" s="1138"/>
      <c r="I7" s="1138"/>
      <c r="J7" s="916"/>
      <c r="L7" s="1068"/>
      <c r="M7" s="1070"/>
      <c r="N7" s="1070"/>
      <c r="O7" s="1070"/>
      <c r="P7" s="1070"/>
      <c r="Q7" s="1070"/>
      <c r="R7" s="1070"/>
      <c r="S7" s="1070"/>
      <c r="T7" s="1071"/>
      <c r="U7" s="1072"/>
      <c r="V7" s="1072"/>
      <c r="W7" s="1072"/>
      <c r="X7" s="1072"/>
      <c r="Y7" s="169"/>
      <c r="AA7" s="342"/>
      <c r="AB7" s="342"/>
      <c r="AC7" s="342"/>
      <c r="AD7" s="342"/>
      <c r="AE7" s="342"/>
      <c r="AF7" s="342"/>
      <c r="AG7" s="342"/>
      <c r="AH7" s="342"/>
      <c r="AI7" s="342"/>
      <c r="AJ7" s="342"/>
      <c r="AK7" s="342"/>
      <c r="AL7" s="342"/>
      <c r="AM7" s="342"/>
      <c r="AN7" s="342"/>
      <c r="AO7" s="342"/>
      <c r="AP7" s="342"/>
      <c r="AQ7" s="342"/>
    </row>
    <row r="8" spans="1:43" ht="30" customHeight="1">
      <c r="B8" s="915"/>
      <c r="H8" s="7"/>
      <c r="I8" s="7"/>
      <c r="J8" s="916"/>
      <c r="L8" s="1073"/>
      <c r="M8" s="1071"/>
      <c r="N8" s="1071"/>
      <c r="O8" s="1071"/>
      <c r="P8" s="1071"/>
      <c r="Q8" s="1071"/>
      <c r="R8" s="1071"/>
      <c r="S8" s="1071"/>
      <c r="T8" s="315"/>
      <c r="U8" s="165"/>
      <c r="V8" s="165"/>
      <c r="W8" s="165"/>
      <c r="X8" s="165"/>
      <c r="Y8" s="166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  <c r="AO8" s="342"/>
      <c r="AP8" s="342"/>
      <c r="AQ8" s="342"/>
    </row>
    <row r="9" spans="1:43" ht="30" customHeight="1">
      <c r="B9" s="915"/>
      <c r="C9" s="20" t="s">
        <v>59</v>
      </c>
      <c r="D9" s="1146" t="str">
        <f>Entidad</f>
        <v>Fundación Canaria TENERIFE RURAL</v>
      </c>
      <c r="E9" s="1146"/>
      <c r="F9" s="1146"/>
      <c r="G9" s="1146"/>
      <c r="H9" s="1146"/>
      <c r="I9" s="21"/>
      <c r="J9" s="916"/>
      <c r="L9" s="1074"/>
      <c r="M9" s="315"/>
      <c r="N9" s="315"/>
      <c r="O9" s="315"/>
      <c r="P9" s="315"/>
      <c r="Q9" s="315"/>
      <c r="R9" s="315"/>
      <c r="S9" s="315"/>
      <c r="T9" s="1070"/>
      <c r="U9" s="168"/>
      <c r="V9" s="168"/>
      <c r="W9" s="168"/>
      <c r="X9" s="168"/>
      <c r="Y9" s="1075"/>
      <c r="AA9" s="342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  <c r="AO9" s="342"/>
      <c r="AP9" s="342"/>
      <c r="AQ9" s="342"/>
    </row>
    <row r="10" spans="1:43" ht="7.2" customHeight="1">
      <c r="B10" s="915"/>
      <c r="H10" s="917"/>
      <c r="I10" s="917"/>
      <c r="J10" s="916"/>
      <c r="L10" s="1073"/>
      <c r="M10" s="1069"/>
      <c r="N10" s="1070"/>
      <c r="O10" s="1070"/>
      <c r="P10" s="1070"/>
      <c r="Q10" s="1070"/>
      <c r="R10" s="1070"/>
      <c r="S10" s="1070"/>
      <c r="T10" s="1070"/>
      <c r="U10" s="168"/>
      <c r="V10" s="168"/>
      <c r="W10" s="168"/>
      <c r="X10" s="168"/>
      <c r="Y10" s="166"/>
      <c r="AA10" s="342"/>
      <c r="AB10" s="342"/>
      <c r="AC10" s="342"/>
      <c r="AD10" s="342"/>
      <c r="AE10" s="342"/>
      <c r="AF10" s="342"/>
      <c r="AG10" s="342"/>
      <c r="AH10" s="342"/>
      <c r="AI10" s="342"/>
      <c r="AJ10" s="342"/>
      <c r="AK10" s="342"/>
      <c r="AL10" s="342"/>
      <c r="AM10" s="342"/>
      <c r="AN10" s="342"/>
      <c r="AO10" s="342"/>
      <c r="AP10" s="342"/>
      <c r="AQ10" s="342"/>
    </row>
    <row r="11" spans="1:43" s="1" customFormat="1" ht="30" customHeight="1">
      <c r="B11" s="10"/>
      <c r="C11" s="4" t="s">
        <v>131</v>
      </c>
      <c r="D11" s="4"/>
      <c r="E11" s="4"/>
      <c r="F11" s="4"/>
      <c r="G11" s="4"/>
      <c r="H11" s="4"/>
      <c r="I11" s="4"/>
      <c r="J11" s="11"/>
      <c r="L11" s="1068"/>
      <c r="M11" s="1070"/>
      <c r="N11" s="1070"/>
      <c r="O11" s="1070"/>
      <c r="P11" s="1070"/>
      <c r="Q11" s="1070"/>
      <c r="R11" s="1070"/>
      <c r="S11" s="1070"/>
      <c r="T11" s="315"/>
      <c r="U11" s="165"/>
      <c r="V11" s="165"/>
      <c r="W11" s="165"/>
      <c r="X11" s="165"/>
      <c r="Y11" s="169"/>
      <c r="AA11" s="1076"/>
      <c r="AB11" s="1076"/>
      <c r="AC11" s="1076"/>
      <c r="AD11" s="1076"/>
      <c r="AE11" s="1076"/>
      <c r="AF11" s="1076"/>
      <c r="AG11" s="1076"/>
      <c r="AH11" s="1076"/>
      <c r="AI11" s="1076"/>
      <c r="AJ11" s="1076"/>
      <c r="AK11" s="1076"/>
      <c r="AL11" s="1076"/>
      <c r="AM11" s="1076"/>
      <c r="AN11" s="1076"/>
      <c r="AO11" s="1076"/>
      <c r="AP11" s="1076"/>
      <c r="AQ11" s="1076"/>
    </row>
    <row r="12" spans="1:43" ht="22.95" customHeight="1">
      <c r="B12" s="915"/>
      <c r="J12" s="916"/>
      <c r="L12" s="1068"/>
      <c r="M12" s="315"/>
      <c r="N12" s="315"/>
      <c r="O12" s="315"/>
      <c r="P12" s="315"/>
      <c r="Q12" s="315"/>
      <c r="R12" s="315"/>
      <c r="S12" s="315"/>
      <c r="T12" s="315"/>
      <c r="U12" s="165"/>
      <c r="V12" s="165"/>
      <c r="W12" s="165"/>
      <c r="X12" s="165"/>
      <c r="Y12" s="169"/>
      <c r="AA12" s="342"/>
      <c r="AB12" s="342"/>
      <c r="AC12" s="342"/>
      <c r="AD12" s="342"/>
      <c r="AE12" s="342"/>
      <c r="AF12" s="342"/>
      <c r="AG12" s="342"/>
      <c r="AH12" s="342"/>
      <c r="AI12" s="342"/>
      <c r="AJ12" s="342"/>
      <c r="AK12" s="342"/>
      <c r="AL12" s="342"/>
      <c r="AM12" s="342"/>
      <c r="AN12" s="342"/>
      <c r="AO12" s="342"/>
      <c r="AP12" s="342"/>
      <c r="AQ12" s="342"/>
    </row>
    <row r="13" spans="1:43" ht="22.95" customHeight="1">
      <c r="B13" s="915"/>
      <c r="C13" s="5" t="s">
        <v>132</v>
      </c>
      <c r="D13" s="5"/>
      <c r="E13" s="5"/>
      <c r="F13" s="5"/>
      <c r="G13" s="5"/>
      <c r="H13" s="5"/>
      <c r="I13" s="194">
        <f>+I15+I19</f>
        <v>9</v>
      </c>
      <c r="J13" s="916"/>
      <c r="L13" s="1073"/>
      <c r="M13" s="315"/>
      <c r="N13" s="315"/>
      <c r="O13" s="315"/>
      <c r="P13" s="315"/>
      <c r="Q13" s="315"/>
      <c r="R13" s="315"/>
      <c r="S13" s="315"/>
      <c r="T13" s="315"/>
      <c r="U13" s="165"/>
      <c r="V13" s="165"/>
      <c r="W13" s="165"/>
      <c r="X13" s="165"/>
      <c r="Y13" s="166"/>
      <c r="AA13" s="342"/>
      <c r="AB13" s="342"/>
      <c r="AC13" s="342"/>
      <c r="AD13" s="342"/>
      <c r="AE13" s="342"/>
      <c r="AF13" s="342"/>
      <c r="AG13" s="342"/>
      <c r="AH13" s="342"/>
      <c r="AI13" s="342"/>
      <c r="AJ13" s="342"/>
      <c r="AK13" s="342"/>
      <c r="AL13" s="342"/>
      <c r="AM13" s="342"/>
      <c r="AN13" s="342"/>
      <c r="AO13" s="342"/>
      <c r="AP13" s="342"/>
      <c r="AQ13" s="342"/>
    </row>
    <row r="14" spans="1:43" ht="22.95" customHeight="1">
      <c r="B14" s="915"/>
      <c r="J14" s="916"/>
      <c r="L14" s="1073"/>
      <c r="M14" s="315"/>
      <c r="N14" s="315"/>
      <c r="O14" s="315"/>
      <c r="P14" s="315"/>
      <c r="Q14" s="315"/>
      <c r="R14" s="315"/>
      <c r="S14" s="315"/>
      <c r="T14" s="315"/>
      <c r="U14" s="165"/>
      <c r="V14" s="165"/>
      <c r="W14" s="165"/>
      <c r="X14" s="165"/>
      <c r="Y14" s="166"/>
      <c r="AA14" s="342"/>
      <c r="AB14" s="342"/>
      <c r="AC14" s="342"/>
      <c r="AD14" s="342"/>
      <c r="AE14" s="342"/>
      <c r="AF14" s="342"/>
      <c r="AG14" s="342"/>
      <c r="AH14" s="342"/>
      <c r="AI14" s="342"/>
      <c r="AJ14" s="342"/>
      <c r="AK14" s="342"/>
      <c r="AL14" s="342"/>
      <c r="AM14" s="342"/>
      <c r="AN14" s="342"/>
      <c r="AO14" s="342"/>
      <c r="AP14" s="342"/>
      <c r="AQ14" s="342"/>
    </row>
    <row r="15" spans="1:43" ht="22.95" customHeight="1">
      <c r="B15" s="915"/>
      <c r="D15" s="195" t="s">
        <v>133</v>
      </c>
      <c r="E15" s="195"/>
      <c r="F15" s="195"/>
      <c r="G15" s="195"/>
      <c r="H15" s="195"/>
      <c r="I15" s="196">
        <f>I16+I17</f>
        <v>4</v>
      </c>
      <c r="J15" s="916"/>
      <c r="L15" s="1073"/>
      <c r="M15" s="315"/>
      <c r="N15" s="315"/>
      <c r="O15" s="315"/>
      <c r="P15" s="315"/>
      <c r="Q15" s="315"/>
      <c r="R15" s="315"/>
      <c r="S15" s="315"/>
      <c r="T15" s="315"/>
      <c r="U15" s="165"/>
      <c r="V15" s="165"/>
      <c r="W15" s="165"/>
      <c r="X15" s="165"/>
      <c r="Y15" s="166"/>
      <c r="Z15" s="340"/>
      <c r="AA15" s="342"/>
      <c r="AB15" s="342"/>
      <c r="AC15" s="342"/>
      <c r="AD15" s="342"/>
      <c r="AE15" s="342"/>
      <c r="AF15" s="342"/>
      <c r="AG15" s="342"/>
      <c r="AH15" s="342"/>
      <c r="AI15" s="342"/>
      <c r="AJ15" s="342"/>
      <c r="AK15" s="342"/>
      <c r="AL15" s="342"/>
      <c r="AM15" s="342"/>
      <c r="AN15" s="342"/>
      <c r="AO15" s="342"/>
      <c r="AP15" s="342"/>
      <c r="AQ15" s="342"/>
    </row>
    <row r="16" spans="1:43" ht="22.95" customHeight="1">
      <c r="B16" s="915"/>
      <c r="E16" s="929" t="s">
        <v>134</v>
      </c>
      <c r="F16" s="929"/>
      <c r="G16" s="929"/>
      <c r="H16" s="929"/>
      <c r="I16" s="1077">
        <f>AD22</f>
        <v>4</v>
      </c>
      <c r="J16" s="916"/>
      <c r="L16" s="1073"/>
      <c r="M16" s="315"/>
      <c r="N16" s="315"/>
      <c r="O16" s="315"/>
      <c r="P16" s="315"/>
      <c r="Q16" s="315"/>
      <c r="R16" s="315"/>
      <c r="S16" s="315"/>
      <c r="T16" s="315"/>
      <c r="U16" s="165"/>
      <c r="V16" s="165"/>
      <c r="W16" s="165"/>
      <c r="X16" s="165"/>
      <c r="Y16" s="166"/>
      <c r="Z16" s="340">
        <f>IF(I16="",1,0)</f>
        <v>0</v>
      </c>
      <c r="AA16" s="342"/>
      <c r="AB16" s="342"/>
      <c r="AC16" s="342"/>
      <c r="AD16" s="340"/>
      <c r="AE16" s="340"/>
      <c r="AF16" s="340"/>
      <c r="AG16" s="340"/>
      <c r="AH16" s="340"/>
      <c r="AI16" s="340"/>
      <c r="AJ16" s="340"/>
      <c r="AK16" s="340"/>
      <c r="AL16" s="340"/>
      <c r="AM16" s="340"/>
      <c r="AN16" s="340"/>
      <c r="AO16" s="340"/>
      <c r="AP16" s="342"/>
      <c r="AQ16" s="342"/>
    </row>
    <row r="17" spans="2:43" ht="22.95" customHeight="1">
      <c r="B17" s="915"/>
      <c r="E17" s="929" t="s">
        <v>135</v>
      </c>
      <c r="F17" s="929"/>
      <c r="G17" s="929"/>
      <c r="H17" s="929"/>
      <c r="I17" s="1077">
        <f>AE22</f>
        <v>0</v>
      </c>
      <c r="J17" s="916"/>
      <c r="L17" s="1073"/>
      <c r="M17" s="315"/>
      <c r="N17" s="315"/>
      <c r="O17" s="315"/>
      <c r="P17" s="315"/>
      <c r="Q17" s="315"/>
      <c r="R17" s="315"/>
      <c r="S17" s="315"/>
      <c r="T17" s="315"/>
      <c r="U17" s="165"/>
      <c r="V17" s="165"/>
      <c r="W17" s="165"/>
      <c r="X17" s="165"/>
      <c r="Y17" s="166"/>
      <c r="Z17" s="340"/>
      <c r="AA17" s="342"/>
      <c r="AB17" s="342"/>
      <c r="AC17" s="342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2"/>
      <c r="AQ17" s="342"/>
    </row>
    <row r="18" spans="2:43" ht="22.95" customHeight="1">
      <c r="B18" s="915"/>
      <c r="J18" s="916"/>
      <c r="L18" s="1073"/>
      <c r="M18" s="315"/>
      <c r="N18" s="315"/>
      <c r="O18" s="315"/>
      <c r="P18" s="315"/>
      <c r="Q18" s="315"/>
      <c r="R18" s="315"/>
      <c r="S18" s="315"/>
      <c r="T18" s="315"/>
      <c r="U18" s="165"/>
      <c r="V18" s="165"/>
      <c r="W18" s="165"/>
      <c r="X18" s="165"/>
      <c r="Y18" s="166"/>
      <c r="Z18" s="340"/>
      <c r="AA18" s="342"/>
      <c r="AB18" s="342"/>
      <c r="AC18" s="342"/>
      <c r="AD18" s="340"/>
      <c r="AE18" s="340"/>
      <c r="AF18" s="340"/>
      <c r="AG18" s="340"/>
      <c r="AH18" s="340"/>
      <c r="AI18" s="340"/>
      <c r="AJ18" s="340"/>
      <c r="AK18" s="340"/>
      <c r="AL18" s="340"/>
      <c r="AM18" s="340" t="s">
        <v>10</v>
      </c>
      <c r="AN18" s="340"/>
      <c r="AO18" s="340"/>
      <c r="AP18" s="342"/>
      <c r="AQ18" s="342"/>
    </row>
    <row r="19" spans="2:43" ht="22.95" customHeight="1">
      <c r="B19" s="915"/>
      <c r="D19" s="195" t="s">
        <v>136</v>
      </c>
      <c r="E19" s="195"/>
      <c r="F19" s="195"/>
      <c r="G19" s="195"/>
      <c r="H19" s="195"/>
      <c r="I19" s="196">
        <f>AF22</f>
        <v>5</v>
      </c>
      <c r="J19" s="916"/>
      <c r="L19" s="1073"/>
      <c r="M19" s="315"/>
      <c r="N19" s="315"/>
      <c r="O19" s="315"/>
      <c r="P19" s="315"/>
      <c r="Q19" s="315"/>
      <c r="R19" s="315"/>
      <c r="S19" s="315"/>
      <c r="T19" s="315"/>
      <c r="U19" s="165"/>
      <c r="V19" s="165"/>
      <c r="W19" s="165"/>
      <c r="X19" s="165"/>
      <c r="Y19" s="166"/>
      <c r="Z19" s="340"/>
      <c r="AA19" s="342"/>
      <c r="AB19" s="342"/>
      <c r="AC19" s="342"/>
      <c r="AD19" s="340"/>
      <c r="AE19" s="340"/>
      <c r="AF19" s="340"/>
      <c r="AG19" s="340"/>
      <c r="AH19" s="340"/>
      <c r="AI19" s="340"/>
      <c r="AJ19" s="340"/>
      <c r="AK19" s="340"/>
      <c r="AL19" s="340"/>
      <c r="AM19" s="1093" t="s">
        <v>52</v>
      </c>
      <c r="AN19" s="1094"/>
      <c r="AO19" s="1095"/>
      <c r="AP19" s="342"/>
      <c r="AQ19" s="342"/>
    </row>
    <row r="20" spans="2:43" ht="22.95" customHeight="1">
      <c r="B20" s="915"/>
      <c r="J20" s="916"/>
      <c r="L20" s="1073"/>
      <c r="M20" s="315"/>
      <c r="N20" s="315"/>
      <c r="O20" s="315"/>
      <c r="P20" s="315"/>
      <c r="Q20" s="315"/>
      <c r="R20" s="315"/>
      <c r="S20" s="315"/>
      <c r="T20" s="315"/>
      <c r="U20" s="165"/>
      <c r="V20" s="165"/>
      <c r="W20" s="165"/>
      <c r="X20" s="165"/>
      <c r="Y20" s="166"/>
      <c r="Z20" s="340"/>
      <c r="AA20" s="342"/>
      <c r="AB20" s="342"/>
      <c r="AC20" s="342"/>
      <c r="AD20" s="340"/>
      <c r="AE20" s="340"/>
      <c r="AF20" s="340"/>
      <c r="AG20" s="340"/>
      <c r="AH20" s="340"/>
      <c r="AI20" s="340"/>
      <c r="AJ20" s="340"/>
      <c r="AK20" s="340"/>
      <c r="AL20" s="340"/>
      <c r="AM20" s="1096" t="s">
        <v>137</v>
      </c>
      <c r="AN20" s="340"/>
      <c r="AO20" s="1097"/>
      <c r="AP20" s="342"/>
      <c r="AQ20" s="342"/>
    </row>
    <row r="21" spans="2:43" ht="22.95" customHeight="1">
      <c r="B21" s="915"/>
      <c r="J21" s="916"/>
      <c r="L21" s="1073"/>
      <c r="M21" s="315"/>
      <c r="N21" s="315"/>
      <c r="O21" s="315"/>
      <c r="P21" s="315"/>
      <c r="Q21" s="315"/>
      <c r="R21" s="315"/>
      <c r="S21" s="315"/>
      <c r="T21" s="315"/>
      <c r="U21" s="165"/>
      <c r="V21" s="165"/>
      <c r="W21" s="165"/>
      <c r="X21" s="165"/>
      <c r="Y21" s="166"/>
      <c r="Z21" s="340"/>
      <c r="AA21" s="342"/>
      <c r="AB21" s="342"/>
      <c r="AC21" s="342"/>
      <c r="AD21" s="1098" t="s">
        <v>138</v>
      </c>
      <c r="AE21" s="1098" t="s">
        <v>139</v>
      </c>
      <c r="AF21" s="1098" t="s">
        <v>140</v>
      </c>
      <c r="AG21" s="340"/>
      <c r="AH21" s="340"/>
      <c r="AI21" s="340"/>
      <c r="AJ21" s="340"/>
      <c r="AK21" s="340"/>
      <c r="AL21" s="340"/>
      <c r="AM21" s="1096" t="s">
        <v>141</v>
      </c>
      <c r="AN21" s="340"/>
      <c r="AO21" s="1097"/>
      <c r="AP21" s="342"/>
      <c r="AQ21" s="342"/>
    </row>
    <row r="22" spans="2:43" ht="31.2" customHeight="1">
      <c r="B22" s="915"/>
      <c r="C22" s="12" t="s">
        <v>142</v>
      </c>
      <c r="D22" s="12" t="s">
        <v>143</v>
      </c>
      <c r="E22" s="12"/>
      <c r="F22" s="12"/>
      <c r="G22" s="12" t="s">
        <v>144</v>
      </c>
      <c r="H22" s="13" t="s">
        <v>145</v>
      </c>
      <c r="I22" s="1078" t="s">
        <v>146</v>
      </c>
      <c r="J22" s="916"/>
      <c r="L22" s="1073"/>
      <c r="M22" s="315"/>
      <c r="N22" s="315"/>
      <c r="O22" s="315"/>
      <c r="P22" s="315"/>
      <c r="Q22" s="315"/>
      <c r="R22" s="315"/>
      <c r="S22" s="315"/>
      <c r="T22" s="315"/>
      <c r="U22" s="165"/>
      <c r="V22" s="165"/>
      <c r="W22" s="165"/>
      <c r="X22" s="165"/>
      <c r="Y22" s="166"/>
      <c r="Z22" s="340"/>
      <c r="AA22" s="342"/>
      <c r="AB22" s="342"/>
      <c r="AC22" s="342"/>
      <c r="AD22" s="1099">
        <f>SUM(AD23:AD38)</f>
        <v>4</v>
      </c>
      <c r="AE22" s="1100">
        <f>SUM(AE23:AE38)</f>
        <v>0</v>
      </c>
      <c r="AF22" s="1101">
        <f>SUM(AF23:AF38)</f>
        <v>5</v>
      </c>
      <c r="AG22" s="1102">
        <f>SUM(AG23:AG38)</f>
        <v>0</v>
      </c>
      <c r="AH22" s="340"/>
      <c r="AI22" s="340"/>
      <c r="AJ22" s="340"/>
      <c r="AK22" s="340"/>
      <c r="AL22" s="340"/>
      <c r="AM22" s="1103" t="s">
        <v>147</v>
      </c>
      <c r="AN22" s="1104"/>
      <c r="AO22" s="1105"/>
      <c r="AP22" s="342"/>
      <c r="AQ22" s="342"/>
    </row>
    <row r="23" spans="2:43" ht="22.95" customHeight="1">
      <c r="B23" s="915"/>
      <c r="C23" s="14" t="s">
        <v>148</v>
      </c>
      <c r="D23" s="1153" t="s">
        <v>149</v>
      </c>
      <c r="E23" s="1153"/>
      <c r="F23" s="1153"/>
      <c r="G23" s="197" t="s">
        <v>52</v>
      </c>
      <c r="H23" s="173">
        <v>45222</v>
      </c>
      <c r="I23" s="173" t="s">
        <v>150</v>
      </c>
      <c r="J23" s="916"/>
      <c r="L23" s="1073"/>
      <c r="M23" s="315"/>
      <c r="N23" s="315"/>
      <c r="O23" s="315"/>
      <c r="P23" s="315"/>
      <c r="Q23" s="315"/>
      <c r="R23" s="315"/>
      <c r="S23" s="315"/>
      <c r="T23" s="315"/>
      <c r="U23" s="165"/>
      <c r="V23" s="165"/>
      <c r="W23" s="165"/>
      <c r="X23" s="165"/>
      <c r="Y23" s="166"/>
      <c r="Z23" s="340">
        <f>IF(D23="",1,0)</f>
        <v>0</v>
      </c>
      <c r="AA23" s="1079">
        <f>IF(D23&lt;&gt;"",IF(G23="",1,0),0)</f>
        <v>0</v>
      </c>
      <c r="AB23" s="342"/>
      <c r="AC23" s="342"/>
      <c r="AD23" s="1106">
        <f t="shared" ref="AD23:AD38" si="0">IF(D23&lt;&gt;"",IF(G23=$AM$19,1,0),0)</f>
        <v>1</v>
      </c>
      <c r="AE23" s="1107">
        <f t="shared" ref="AE23:AE38" si="1">IF(D23&lt;&gt;"",IF(G23=$AM$20,1,0),0)</f>
        <v>0</v>
      </c>
      <c r="AF23" s="1108">
        <f>IF(D23&lt;&gt;"",IF(G23=$AM$21,1,0),0)</f>
        <v>0</v>
      </c>
      <c r="AG23" s="1095">
        <f t="shared" ref="AG23:AG38" si="2">IF(D23&lt;&gt;"",IF(G23&lt;&gt;"",0,1),0)</f>
        <v>0</v>
      </c>
      <c r="AH23" s="340"/>
      <c r="AI23" s="340"/>
      <c r="AJ23" s="340"/>
      <c r="AK23" s="340"/>
      <c r="AL23" s="340"/>
      <c r="AM23" s="340"/>
      <c r="AN23" s="340"/>
      <c r="AO23" s="340"/>
      <c r="AP23" s="342"/>
      <c r="AQ23" s="342"/>
    </row>
    <row r="24" spans="2:43" ht="22.95" customHeight="1">
      <c r="B24" s="915"/>
      <c r="C24" s="15" t="s">
        <v>151</v>
      </c>
      <c r="D24" s="1149" t="s">
        <v>152</v>
      </c>
      <c r="E24" s="1149"/>
      <c r="F24" s="1149"/>
      <c r="G24" s="198" t="s">
        <v>141</v>
      </c>
      <c r="H24" s="174">
        <v>42321</v>
      </c>
      <c r="I24" s="174" t="s">
        <v>150</v>
      </c>
      <c r="J24" s="916"/>
      <c r="L24" s="1073"/>
      <c r="M24" s="315"/>
      <c r="N24" s="315"/>
      <c r="O24" s="315"/>
      <c r="P24" s="315"/>
      <c r="Q24" s="315"/>
      <c r="R24" s="315"/>
      <c r="S24" s="315"/>
      <c r="T24" s="315"/>
      <c r="U24" s="165"/>
      <c r="V24" s="165"/>
      <c r="W24" s="165"/>
      <c r="X24" s="165"/>
      <c r="Y24" s="166"/>
      <c r="Z24" s="340"/>
      <c r="AA24" s="342"/>
      <c r="AB24" s="342"/>
      <c r="AC24" s="342"/>
      <c r="AD24" s="1109">
        <f t="shared" si="0"/>
        <v>0</v>
      </c>
      <c r="AE24" s="1110">
        <f t="shared" si="1"/>
        <v>0</v>
      </c>
      <c r="AF24" s="1111">
        <f t="shared" ref="AF24:AF38" si="3">IF(D24&lt;&gt;"",IF(G24=$AM$21,1,0),0)</f>
        <v>1</v>
      </c>
      <c r="AG24" s="1097">
        <f t="shared" si="2"/>
        <v>0</v>
      </c>
      <c r="AH24" s="340"/>
      <c r="AI24" s="340"/>
      <c r="AJ24" s="340"/>
      <c r="AK24" s="340"/>
      <c r="AL24" s="340"/>
      <c r="AM24" s="340"/>
      <c r="AN24" s="340"/>
      <c r="AO24" s="340"/>
      <c r="AP24" s="342"/>
      <c r="AQ24" s="342"/>
    </row>
    <row r="25" spans="2:43" ht="22.95" customHeight="1">
      <c r="B25" s="915"/>
      <c r="C25" s="15" t="s">
        <v>153</v>
      </c>
      <c r="D25" s="1149" t="s">
        <v>154</v>
      </c>
      <c r="E25" s="1149"/>
      <c r="F25" s="1149"/>
      <c r="G25" s="198" t="s">
        <v>147</v>
      </c>
      <c r="H25" s="174">
        <v>44210</v>
      </c>
      <c r="I25" s="174" t="s">
        <v>150</v>
      </c>
      <c r="J25" s="916"/>
      <c r="L25" s="1073"/>
      <c r="M25" s="315"/>
      <c r="N25" s="315"/>
      <c r="O25" s="315"/>
      <c r="P25" s="315"/>
      <c r="Q25" s="315"/>
      <c r="R25" s="315"/>
      <c r="S25" s="315"/>
      <c r="T25" s="315"/>
      <c r="U25" s="165"/>
      <c r="V25" s="165"/>
      <c r="W25" s="165"/>
      <c r="X25" s="165"/>
      <c r="Y25" s="166"/>
      <c r="Z25" s="340">
        <f>IF(D25="",1,0)</f>
        <v>0</v>
      </c>
      <c r="AA25" s="1079">
        <f>IF(D25&lt;&gt;"",IF(G25="",1,0),0)</f>
        <v>0</v>
      </c>
      <c r="AB25" s="342"/>
      <c r="AC25" s="342"/>
      <c r="AD25" s="1109">
        <f>IF(D25&lt;&gt;"",IF(G25=$AM$19,1,0),0)</f>
        <v>0</v>
      </c>
      <c r="AE25" s="1110">
        <f>IF(D25&lt;&gt;"",IF(G25=$AM$20,1,0),0)</f>
        <v>0</v>
      </c>
      <c r="AF25" s="1111">
        <f>IF(D25&lt;&gt;"",IF(G25=$AM$21,1,0),0)</f>
        <v>0</v>
      </c>
      <c r="AG25" s="1097">
        <f>IF(D25&lt;&gt;"",IF(G25&lt;&gt;"",0,1),0)</f>
        <v>0</v>
      </c>
      <c r="AH25" s="340"/>
      <c r="AI25" s="340"/>
      <c r="AJ25" s="340"/>
      <c r="AK25" s="340"/>
      <c r="AL25" s="340"/>
      <c r="AM25" s="340"/>
      <c r="AN25" s="340"/>
      <c r="AO25" s="340"/>
      <c r="AP25" s="342"/>
      <c r="AQ25" s="342"/>
    </row>
    <row r="26" spans="2:43" ht="22.95" customHeight="1">
      <c r="B26" s="915"/>
      <c r="C26" s="15" t="s">
        <v>155</v>
      </c>
      <c r="D26" s="1149"/>
      <c r="E26" s="1149"/>
      <c r="F26" s="1149"/>
      <c r="G26" s="198"/>
      <c r="H26" s="174"/>
      <c r="I26" s="174"/>
      <c r="J26" s="916"/>
      <c r="L26" s="1073"/>
      <c r="M26" s="315"/>
      <c r="N26" s="315"/>
      <c r="O26" s="315"/>
      <c r="P26" s="315"/>
      <c r="Q26" s="315"/>
      <c r="R26" s="315"/>
      <c r="S26" s="315"/>
      <c r="T26" s="315"/>
      <c r="U26" s="165"/>
      <c r="V26" s="165"/>
      <c r="W26" s="165"/>
      <c r="X26" s="165"/>
      <c r="Y26" s="166"/>
      <c r="Z26" s="340"/>
      <c r="AA26" s="342"/>
      <c r="AB26" s="342"/>
      <c r="AC26" s="342"/>
      <c r="AD26" s="1109">
        <f>IF(D26&lt;&gt;"",IF(G26=$AM$19,1,0),0)</f>
        <v>0</v>
      </c>
      <c r="AE26" s="1110">
        <f>IF(D26&lt;&gt;"",IF(G26=$AM$20,1,0),0)</f>
        <v>0</v>
      </c>
      <c r="AF26" s="1111">
        <f>IF(D26&lt;&gt;"",IF(G26=$AM$21,1,0),0)</f>
        <v>0</v>
      </c>
      <c r="AG26" s="1097">
        <f>IF(D26&lt;&gt;"",IF(G26&lt;&gt;"",0,1),0)</f>
        <v>0</v>
      </c>
      <c r="AH26" s="340"/>
      <c r="AI26" s="340"/>
      <c r="AJ26" s="340"/>
      <c r="AK26" s="340"/>
      <c r="AL26" s="340"/>
      <c r="AM26" s="340"/>
      <c r="AN26" s="340"/>
      <c r="AO26" s="340"/>
      <c r="AP26" s="342"/>
      <c r="AQ26" s="342"/>
    </row>
    <row r="27" spans="2:43" ht="22.95" customHeight="1">
      <c r="B27" s="915"/>
      <c r="C27" s="15" t="s">
        <v>156</v>
      </c>
      <c r="D27" s="1149" t="s">
        <v>157</v>
      </c>
      <c r="E27" s="1149"/>
      <c r="F27" s="1149"/>
      <c r="G27" s="198" t="s">
        <v>141</v>
      </c>
      <c r="H27" s="174">
        <v>42321</v>
      </c>
      <c r="I27" s="174" t="s">
        <v>150</v>
      </c>
      <c r="J27" s="916"/>
      <c r="L27" s="1073"/>
      <c r="M27" s="315"/>
      <c r="N27" s="315"/>
      <c r="O27" s="315"/>
      <c r="P27" s="315"/>
      <c r="Q27" s="315"/>
      <c r="R27" s="315"/>
      <c r="S27" s="315"/>
      <c r="T27" s="315"/>
      <c r="U27" s="165"/>
      <c r="V27" s="165"/>
      <c r="W27" s="165"/>
      <c r="X27" s="165"/>
      <c r="Y27" s="166"/>
      <c r="Z27" s="340">
        <f>IF(D27="",1,0)</f>
        <v>0</v>
      </c>
      <c r="AA27" s="1079">
        <f>IF(D27&lt;&gt;"",IF(G27="",1,0),0)</f>
        <v>0</v>
      </c>
      <c r="AB27" s="342"/>
      <c r="AC27" s="342"/>
      <c r="AD27" s="1109">
        <f t="shared" si="0"/>
        <v>0</v>
      </c>
      <c r="AE27" s="1110">
        <f t="shared" si="1"/>
        <v>0</v>
      </c>
      <c r="AF27" s="1111">
        <f t="shared" si="3"/>
        <v>1</v>
      </c>
      <c r="AG27" s="1097">
        <f t="shared" si="2"/>
        <v>0</v>
      </c>
      <c r="AH27" s="340"/>
      <c r="AI27" s="340"/>
      <c r="AJ27" s="340"/>
      <c r="AK27" s="340"/>
      <c r="AL27" s="340"/>
      <c r="AM27" s="340"/>
      <c r="AN27" s="340"/>
      <c r="AO27" s="340"/>
      <c r="AP27" s="342"/>
      <c r="AQ27" s="342"/>
    </row>
    <row r="28" spans="2:43" ht="22.95" customHeight="1">
      <c r="B28" s="915"/>
      <c r="C28" s="15" t="s">
        <v>158</v>
      </c>
      <c r="D28" s="1149" t="s">
        <v>159</v>
      </c>
      <c r="E28" s="1149"/>
      <c r="F28" s="1149"/>
      <c r="G28" s="198" t="s">
        <v>52</v>
      </c>
      <c r="H28" s="174">
        <v>45222</v>
      </c>
      <c r="I28" s="174" t="s">
        <v>150</v>
      </c>
      <c r="J28" s="916"/>
      <c r="L28" s="1073"/>
      <c r="M28" s="315"/>
      <c r="N28" s="315"/>
      <c r="O28" s="315"/>
      <c r="P28" s="315"/>
      <c r="Q28" s="315"/>
      <c r="R28" s="315"/>
      <c r="S28" s="315"/>
      <c r="T28" s="1080"/>
      <c r="U28" s="1081"/>
      <c r="V28" s="1081"/>
      <c r="W28" s="1081"/>
      <c r="X28" s="1081"/>
      <c r="Y28" s="166"/>
      <c r="Z28" s="340"/>
      <c r="AA28" s="342"/>
      <c r="AB28" s="342"/>
      <c r="AC28" s="342"/>
      <c r="AD28" s="1109">
        <f t="shared" si="0"/>
        <v>1</v>
      </c>
      <c r="AE28" s="1110">
        <f t="shared" si="1"/>
        <v>0</v>
      </c>
      <c r="AF28" s="1111">
        <f t="shared" si="3"/>
        <v>0</v>
      </c>
      <c r="AG28" s="1097">
        <f t="shared" si="2"/>
        <v>0</v>
      </c>
      <c r="AH28" s="340"/>
      <c r="AI28" s="340"/>
      <c r="AJ28" s="340"/>
      <c r="AK28" s="340"/>
      <c r="AL28" s="340"/>
      <c r="AM28" s="340"/>
      <c r="AN28" s="340"/>
      <c r="AO28" s="340"/>
      <c r="AP28" s="342"/>
      <c r="AQ28" s="342"/>
    </row>
    <row r="29" spans="2:43" ht="22.95" customHeight="1">
      <c r="B29" s="915"/>
      <c r="C29" s="15" t="s">
        <v>160</v>
      </c>
      <c r="D29" s="1149" t="s">
        <v>161</v>
      </c>
      <c r="E29" s="1149"/>
      <c r="F29" s="1149"/>
      <c r="G29" s="198" t="s">
        <v>141</v>
      </c>
      <c r="H29" s="174">
        <v>43452</v>
      </c>
      <c r="I29" s="174" t="s">
        <v>150</v>
      </c>
      <c r="J29" s="916"/>
      <c r="L29" s="1073" t="str">
        <f t="shared" ref="L29:L38" si="4">IF(P29=1,"***","")</f>
        <v/>
      </c>
      <c r="M29" s="315"/>
      <c r="N29" s="315"/>
      <c r="O29" s="1079">
        <f t="shared" ref="O29:O38" si="5">IF(D29&lt;&gt;"",IF(G29=$AM$21,1,0),0)</f>
        <v>1</v>
      </c>
      <c r="P29" s="1079">
        <f t="shared" ref="P29:P38" si="6">IF(D29&lt;&gt;"",IF(G29="",1,0),0)</f>
        <v>0</v>
      </c>
      <c r="Q29" s="1080"/>
      <c r="R29" s="1080"/>
      <c r="S29" s="1080"/>
      <c r="T29" s="1080"/>
      <c r="U29" s="1081"/>
      <c r="V29" s="1081"/>
      <c r="W29" s="1081"/>
      <c r="X29" s="1081"/>
      <c r="Y29" s="166"/>
      <c r="Z29" s="340"/>
      <c r="AA29" s="342"/>
      <c r="AB29" s="342"/>
      <c r="AC29" s="342"/>
      <c r="AD29" s="1109">
        <f t="shared" si="0"/>
        <v>0</v>
      </c>
      <c r="AE29" s="1110">
        <f t="shared" si="1"/>
        <v>0</v>
      </c>
      <c r="AF29" s="1111">
        <f t="shared" si="3"/>
        <v>1</v>
      </c>
      <c r="AG29" s="1097">
        <f t="shared" si="2"/>
        <v>0</v>
      </c>
      <c r="AH29" s="340"/>
      <c r="AI29" s="340"/>
      <c r="AJ29" s="340"/>
      <c r="AK29" s="340"/>
      <c r="AL29" s="340"/>
      <c r="AM29" s="340"/>
      <c r="AN29" s="340"/>
      <c r="AO29" s="340"/>
      <c r="AP29" s="342"/>
      <c r="AQ29" s="342"/>
    </row>
    <row r="30" spans="2:43" ht="22.95" customHeight="1">
      <c r="B30" s="915"/>
      <c r="C30" s="15" t="s">
        <v>162</v>
      </c>
      <c r="D30" s="1149" t="s">
        <v>163</v>
      </c>
      <c r="E30" s="1149"/>
      <c r="F30" s="1149"/>
      <c r="G30" s="198" t="s">
        <v>141</v>
      </c>
      <c r="H30" s="174">
        <v>43789</v>
      </c>
      <c r="I30" s="174" t="s">
        <v>150</v>
      </c>
      <c r="J30" s="916"/>
      <c r="L30" s="1073" t="str">
        <f t="shared" si="4"/>
        <v/>
      </c>
      <c r="M30" s="315"/>
      <c r="N30" s="315"/>
      <c r="O30" s="1079">
        <f t="shared" si="5"/>
        <v>1</v>
      </c>
      <c r="P30" s="1079">
        <f t="shared" si="6"/>
        <v>0</v>
      </c>
      <c r="Q30" s="1080"/>
      <c r="R30" s="1080"/>
      <c r="S30" s="1080"/>
      <c r="T30" s="315"/>
      <c r="U30" s="165"/>
      <c r="V30" s="165"/>
      <c r="W30" s="165"/>
      <c r="X30" s="165"/>
      <c r="Y30" s="1082"/>
      <c r="Z30" s="340"/>
      <c r="AA30" s="342"/>
      <c r="AB30" s="342"/>
      <c r="AC30" s="342"/>
      <c r="AD30" s="1109">
        <f t="shared" si="0"/>
        <v>0</v>
      </c>
      <c r="AE30" s="1110">
        <f t="shared" si="1"/>
        <v>0</v>
      </c>
      <c r="AF30" s="1111">
        <f t="shared" si="3"/>
        <v>1</v>
      </c>
      <c r="AG30" s="1097">
        <f t="shared" si="2"/>
        <v>0</v>
      </c>
      <c r="AH30" s="340"/>
      <c r="AI30" s="340"/>
      <c r="AJ30" s="340"/>
      <c r="AK30" s="340"/>
      <c r="AL30" s="340"/>
      <c r="AM30" s="340"/>
      <c r="AN30" s="340"/>
      <c r="AO30" s="340"/>
      <c r="AP30" s="342"/>
      <c r="AQ30" s="342"/>
    </row>
    <row r="31" spans="2:43" ht="22.95" customHeight="1">
      <c r="B31" s="915"/>
      <c r="C31" s="15" t="s">
        <v>164</v>
      </c>
      <c r="D31" s="1149" t="s">
        <v>165</v>
      </c>
      <c r="E31" s="1149"/>
      <c r="F31" s="1149"/>
      <c r="G31" s="198" t="s">
        <v>52</v>
      </c>
      <c r="H31" s="174">
        <v>45222</v>
      </c>
      <c r="I31" s="174" t="s">
        <v>150</v>
      </c>
      <c r="J31" s="916"/>
      <c r="L31" s="1073" t="str">
        <f t="shared" si="4"/>
        <v/>
      </c>
      <c r="M31" s="315"/>
      <c r="N31" s="315"/>
      <c r="O31" s="1079">
        <f t="shared" si="5"/>
        <v>0</v>
      </c>
      <c r="P31" s="1079">
        <f t="shared" si="6"/>
        <v>0</v>
      </c>
      <c r="Q31" s="315"/>
      <c r="R31" s="315"/>
      <c r="S31" s="315"/>
      <c r="T31" s="315"/>
      <c r="U31" s="165"/>
      <c r="V31" s="165"/>
      <c r="W31" s="165"/>
      <c r="X31" s="165"/>
      <c r="Y31" s="1082"/>
      <c r="Z31" s="340"/>
      <c r="AA31" s="342"/>
      <c r="AB31" s="342"/>
      <c r="AC31" s="342"/>
      <c r="AD31" s="1109">
        <f t="shared" si="0"/>
        <v>1</v>
      </c>
      <c r="AE31" s="1110">
        <f t="shared" si="1"/>
        <v>0</v>
      </c>
      <c r="AF31" s="1111">
        <f t="shared" si="3"/>
        <v>0</v>
      </c>
      <c r="AG31" s="1097">
        <f t="shared" si="2"/>
        <v>0</v>
      </c>
      <c r="AH31" s="340"/>
      <c r="AI31" s="340"/>
      <c r="AJ31" s="340"/>
      <c r="AK31" s="340"/>
      <c r="AL31" s="340"/>
      <c r="AM31" s="340"/>
      <c r="AN31" s="340"/>
      <c r="AO31" s="340"/>
      <c r="AP31" s="342"/>
      <c r="AQ31" s="342"/>
    </row>
    <row r="32" spans="2:43" ht="22.95" customHeight="1">
      <c r="B32" s="915"/>
      <c r="C32" s="15" t="s">
        <v>166</v>
      </c>
      <c r="D32" s="1149" t="s">
        <v>167</v>
      </c>
      <c r="E32" s="1149"/>
      <c r="F32" s="1149"/>
      <c r="G32" s="198" t="s">
        <v>52</v>
      </c>
      <c r="H32" s="174">
        <v>45222</v>
      </c>
      <c r="I32" s="174" t="s">
        <v>150</v>
      </c>
      <c r="J32" s="916"/>
      <c r="L32" s="1073" t="str">
        <f t="shared" si="4"/>
        <v/>
      </c>
      <c r="M32" s="315"/>
      <c r="N32" s="315"/>
      <c r="O32" s="1079">
        <f t="shared" si="5"/>
        <v>0</v>
      </c>
      <c r="P32" s="1079">
        <f t="shared" si="6"/>
        <v>0</v>
      </c>
      <c r="Q32" s="315"/>
      <c r="R32" s="315"/>
      <c r="S32" s="315"/>
      <c r="T32" s="315"/>
      <c r="U32" s="165"/>
      <c r="V32" s="165"/>
      <c r="W32" s="165"/>
      <c r="X32" s="165"/>
      <c r="Y32" s="166"/>
      <c r="Z32" s="340"/>
      <c r="AA32" s="342"/>
      <c r="AB32" s="342"/>
      <c r="AC32" s="342"/>
      <c r="AD32" s="1109">
        <f t="shared" si="0"/>
        <v>1</v>
      </c>
      <c r="AE32" s="1110">
        <f t="shared" si="1"/>
        <v>0</v>
      </c>
      <c r="AF32" s="1111">
        <f t="shared" si="3"/>
        <v>0</v>
      </c>
      <c r="AG32" s="1097">
        <f t="shared" si="2"/>
        <v>0</v>
      </c>
      <c r="AH32" s="340"/>
      <c r="AI32" s="340"/>
      <c r="AJ32" s="340"/>
      <c r="AK32" s="340"/>
      <c r="AL32" s="340"/>
      <c r="AM32" s="340"/>
      <c r="AN32" s="340"/>
      <c r="AO32" s="340"/>
      <c r="AP32" s="342"/>
      <c r="AQ32" s="342"/>
    </row>
    <row r="33" spans="2:43" ht="22.95" customHeight="1">
      <c r="B33" s="915"/>
      <c r="C33" s="15" t="s">
        <v>168</v>
      </c>
      <c r="D33" s="1149" t="s">
        <v>169</v>
      </c>
      <c r="E33" s="1149"/>
      <c r="F33" s="1149"/>
      <c r="G33" s="198" t="s">
        <v>141</v>
      </c>
      <c r="H33" s="174">
        <v>42809</v>
      </c>
      <c r="I33" s="174" t="s">
        <v>150</v>
      </c>
      <c r="J33" s="916"/>
      <c r="L33" s="1073" t="str">
        <f t="shared" si="4"/>
        <v/>
      </c>
      <c r="M33" s="315"/>
      <c r="N33" s="315"/>
      <c r="O33" s="1079">
        <f t="shared" si="5"/>
        <v>1</v>
      </c>
      <c r="P33" s="1079">
        <f t="shared" si="6"/>
        <v>0</v>
      </c>
      <c r="Q33" s="315"/>
      <c r="R33" s="315"/>
      <c r="S33" s="315"/>
      <c r="T33" s="315"/>
      <c r="U33" s="165"/>
      <c r="V33" s="165"/>
      <c r="W33" s="165"/>
      <c r="X33" s="165"/>
      <c r="Y33" s="166"/>
      <c r="Z33" s="340"/>
      <c r="AA33" s="342"/>
      <c r="AB33" s="342"/>
      <c r="AC33" s="342"/>
      <c r="AD33" s="1109">
        <f t="shared" si="0"/>
        <v>0</v>
      </c>
      <c r="AE33" s="1110">
        <f t="shared" si="1"/>
        <v>0</v>
      </c>
      <c r="AF33" s="1111">
        <f t="shared" si="3"/>
        <v>1</v>
      </c>
      <c r="AG33" s="1097">
        <f t="shared" si="2"/>
        <v>0</v>
      </c>
      <c r="AH33" s="340"/>
      <c r="AI33" s="340"/>
      <c r="AJ33" s="340"/>
      <c r="AK33" s="340"/>
      <c r="AL33" s="340"/>
      <c r="AM33" s="340"/>
      <c r="AN33" s="340"/>
      <c r="AO33" s="340"/>
      <c r="AP33" s="342"/>
      <c r="AQ33" s="342"/>
    </row>
    <row r="34" spans="2:43" ht="22.95" customHeight="1">
      <c r="B34" s="915"/>
      <c r="C34" s="15" t="s">
        <v>170</v>
      </c>
      <c r="D34" s="1149"/>
      <c r="E34" s="1149"/>
      <c r="F34" s="1149"/>
      <c r="G34" s="198"/>
      <c r="H34" s="174"/>
      <c r="I34" s="174"/>
      <c r="J34" s="916"/>
      <c r="L34" s="1073" t="str">
        <f t="shared" si="4"/>
        <v/>
      </c>
      <c r="M34" s="315"/>
      <c r="N34" s="315"/>
      <c r="O34" s="1079">
        <f t="shared" si="5"/>
        <v>0</v>
      </c>
      <c r="P34" s="1079">
        <f t="shared" si="6"/>
        <v>0</v>
      </c>
      <c r="Q34" s="315"/>
      <c r="R34" s="315"/>
      <c r="S34" s="315"/>
      <c r="T34" s="1083"/>
      <c r="U34" s="1084"/>
      <c r="V34" s="1084"/>
      <c r="W34" s="1084"/>
      <c r="X34" s="1084"/>
      <c r="Y34" s="166"/>
      <c r="Z34" s="340"/>
      <c r="AA34" s="342"/>
      <c r="AB34" s="342"/>
      <c r="AC34" s="342"/>
      <c r="AD34" s="1109">
        <f t="shared" si="0"/>
        <v>0</v>
      </c>
      <c r="AE34" s="1110">
        <f t="shared" si="1"/>
        <v>0</v>
      </c>
      <c r="AF34" s="1111">
        <f t="shared" si="3"/>
        <v>0</v>
      </c>
      <c r="AG34" s="1097">
        <f t="shared" si="2"/>
        <v>0</v>
      </c>
      <c r="AH34" s="340"/>
      <c r="AI34" s="340"/>
      <c r="AJ34" s="340"/>
      <c r="AK34" s="340"/>
      <c r="AL34" s="340"/>
      <c r="AM34" s="340"/>
      <c r="AN34" s="340"/>
      <c r="AO34" s="340"/>
      <c r="AP34" s="342"/>
      <c r="AQ34" s="342"/>
    </row>
    <row r="35" spans="2:43" ht="22.95" customHeight="1">
      <c r="B35" s="915"/>
      <c r="C35" s="15" t="s">
        <v>171</v>
      </c>
      <c r="D35" s="1149"/>
      <c r="E35" s="1149"/>
      <c r="F35" s="1149"/>
      <c r="G35" s="198"/>
      <c r="H35" s="174"/>
      <c r="I35" s="174"/>
      <c r="J35" s="916"/>
      <c r="L35" s="1073" t="str">
        <f t="shared" si="4"/>
        <v/>
      </c>
      <c r="M35" s="315"/>
      <c r="N35" s="315"/>
      <c r="O35" s="1079">
        <f t="shared" si="5"/>
        <v>0</v>
      </c>
      <c r="P35" s="1079">
        <f t="shared" si="6"/>
        <v>0</v>
      </c>
      <c r="Q35" s="1083"/>
      <c r="R35" s="1083"/>
      <c r="S35" s="1083"/>
      <c r="T35" s="1083"/>
      <c r="U35" s="1084"/>
      <c r="V35" s="1084"/>
      <c r="W35" s="1084"/>
      <c r="X35" s="1084"/>
      <c r="Y35" s="166"/>
      <c r="Z35" s="340"/>
      <c r="AA35" s="342"/>
      <c r="AB35" s="342"/>
      <c r="AC35" s="342"/>
      <c r="AD35" s="1109">
        <f t="shared" si="0"/>
        <v>0</v>
      </c>
      <c r="AE35" s="1110">
        <f t="shared" si="1"/>
        <v>0</v>
      </c>
      <c r="AF35" s="1111">
        <f t="shared" si="3"/>
        <v>0</v>
      </c>
      <c r="AG35" s="1097">
        <f t="shared" si="2"/>
        <v>0</v>
      </c>
      <c r="AH35" s="340"/>
      <c r="AI35" s="340"/>
      <c r="AJ35" s="340"/>
      <c r="AK35" s="340"/>
      <c r="AL35" s="340"/>
      <c r="AM35" s="340"/>
      <c r="AN35" s="340"/>
      <c r="AO35" s="340"/>
      <c r="AP35" s="342"/>
      <c r="AQ35" s="342"/>
    </row>
    <row r="36" spans="2:43" ht="22.95" customHeight="1">
      <c r="B36" s="915"/>
      <c r="C36" s="15" t="s">
        <v>172</v>
      </c>
      <c r="D36" s="1149"/>
      <c r="E36" s="1149"/>
      <c r="F36" s="1149"/>
      <c r="G36" s="198"/>
      <c r="H36" s="174"/>
      <c r="I36" s="174"/>
      <c r="J36" s="916"/>
      <c r="L36" s="1073" t="str">
        <f t="shared" si="4"/>
        <v/>
      </c>
      <c r="M36" s="315"/>
      <c r="N36" s="315"/>
      <c r="O36" s="1079">
        <f t="shared" si="5"/>
        <v>0</v>
      </c>
      <c r="P36" s="1079">
        <f t="shared" si="6"/>
        <v>0</v>
      </c>
      <c r="Q36" s="1083"/>
      <c r="R36" s="1083"/>
      <c r="S36" s="1083"/>
      <c r="T36" s="1083"/>
      <c r="U36" s="1084"/>
      <c r="V36" s="1084"/>
      <c r="W36" s="1084"/>
      <c r="X36" s="1084"/>
      <c r="Y36" s="1085"/>
      <c r="Z36" s="340"/>
      <c r="AA36" s="342"/>
      <c r="AB36" s="342"/>
      <c r="AC36" s="342"/>
      <c r="AD36" s="1109">
        <f t="shared" si="0"/>
        <v>0</v>
      </c>
      <c r="AE36" s="1110">
        <f t="shared" si="1"/>
        <v>0</v>
      </c>
      <c r="AF36" s="1111">
        <f t="shared" si="3"/>
        <v>0</v>
      </c>
      <c r="AG36" s="1097">
        <f t="shared" si="2"/>
        <v>0</v>
      </c>
      <c r="AH36" s="340"/>
      <c r="AI36" s="340"/>
      <c r="AJ36" s="340"/>
      <c r="AK36" s="340"/>
      <c r="AL36" s="340"/>
      <c r="AM36" s="340"/>
      <c r="AN36" s="340"/>
      <c r="AO36" s="340"/>
      <c r="AP36" s="342"/>
      <c r="AQ36" s="342"/>
    </row>
    <row r="37" spans="2:43" ht="22.95" customHeight="1">
      <c r="B37" s="915"/>
      <c r="C37" s="15" t="s">
        <v>173</v>
      </c>
      <c r="D37" s="1149"/>
      <c r="E37" s="1149"/>
      <c r="F37" s="1149"/>
      <c r="G37" s="198"/>
      <c r="H37" s="174"/>
      <c r="I37" s="174"/>
      <c r="J37" s="916"/>
      <c r="L37" s="1073" t="str">
        <f t="shared" si="4"/>
        <v/>
      </c>
      <c r="M37" s="315"/>
      <c r="N37" s="315"/>
      <c r="O37" s="1079">
        <f t="shared" si="5"/>
        <v>0</v>
      </c>
      <c r="P37" s="1079">
        <f t="shared" si="6"/>
        <v>0</v>
      </c>
      <c r="Q37" s="1083"/>
      <c r="R37" s="1083"/>
      <c r="S37" s="1083"/>
      <c r="T37" s="1083"/>
      <c r="U37" s="1084"/>
      <c r="V37" s="1084"/>
      <c r="W37" s="1084"/>
      <c r="X37" s="1084"/>
      <c r="Y37" s="1085"/>
      <c r="Z37" s="340"/>
      <c r="AA37" s="342"/>
      <c r="AB37" s="342"/>
      <c r="AC37" s="342"/>
      <c r="AD37" s="1109">
        <f t="shared" si="0"/>
        <v>0</v>
      </c>
      <c r="AE37" s="1110">
        <f t="shared" si="1"/>
        <v>0</v>
      </c>
      <c r="AF37" s="1111">
        <f t="shared" si="3"/>
        <v>0</v>
      </c>
      <c r="AG37" s="1097">
        <f t="shared" si="2"/>
        <v>0</v>
      </c>
      <c r="AH37" s="340"/>
      <c r="AI37" s="340"/>
      <c r="AJ37" s="340"/>
      <c r="AK37" s="340"/>
      <c r="AL37" s="340"/>
      <c r="AM37" s="340"/>
      <c r="AN37" s="340"/>
      <c r="AO37" s="340"/>
      <c r="AP37" s="342"/>
      <c r="AQ37" s="342"/>
    </row>
    <row r="38" spans="2:43" ht="22.95" customHeight="1">
      <c r="B38" s="915"/>
      <c r="C38" s="15" t="s">
        <v>174</v>
      </c>
      <c r="D38" s="1149"/>
      <c r="E38" s="1149"/>
      <c r="F38" s="1149"/>
      <c r="G38" s="198"/>
      <c r="H38" s="174"/>
      <c r="I38" s="174"/>
      <c r="J38" s="916"/>
      <c r="L38" s="1073" t="str">
        <f t="shared" si="4"/>
        <v/>
      </c>
      <c r="M38" s="315"/>
      <c r="N38" s="315"/>
      <c r="O38" s="1079">
        <f t="shared" si="5"/>
        <v>0</v>
      </c>
      <c r="P38" s="1079">
        <f t="shared" si="6"/>
        <v>0</v>
      </c>
      <c r="Q38" s="1083"/>
      <c r="R38" s="1083"/>
      <c r="S38" s="1083"/>
      <c r="T38" s="315"/>
      <c r="U38" s="165"/>
      <c r="V38" s="165"/>
      <c r="W38" s="165"/>
      <c r="X38" s="165"/>
      <c r="Y38" s="1085"/>
      <c r="Z38" s="340">
        <f>SUM(Z23:Z37)</f>
        <v>0</v>
      </c>
      <c r="AA38" s="342"/>
      <c r="AB38" s="342"/>
      <c r="AC38" s="342"/>
      <c r="AD38" s="1112">
        <f t="shared" si="0"/>
        <v>0</v>
      </c>
      <c r="AE38" s="252">
        <f t="shared" si="1"/>
        <v>0</v>
      </c>
      <c r="AF38" s="1113">
        <f t="shared" si="3"/>
        <v>0</v>
      </c>
      <c r="AG38" s="1105">
        <f t="shared" si="2"/>
        <v>0</v>
      </c>
      <c r="AH38" s="340"/>
      <c r="AI38" s="340"/>
      <c r="AJ38" s="340"/>
      <c r="AK38" s="340"/>
      <c r="AL38" s="340"/>
      <c r="AM38" s="340"/>
      <c r="AN38" s="340"/>
      <c r="AO38" s="340"/>
      <c r="AP38" s="342"/>
      <c r="AQ38" s="342"/>
    </row>
    <row r="39" spans="2:43" ht="22.95" customHeight="1">
      <c r="B39" s="915"/>
      <c r="C39" s="16"/>
      <c r="D39" s="1086"/>
      <c r="E39" s="1086"/>
      <c r="F39" s="1086"/>
      <c r="G39" s="1086"/>
      <c r="H39" s="18"/>
      <c r="I39" s="18"/>
      <c r="J39" s="916"/>
      <c r="L39" s="1087"/>
      <c r="M39" s="315"/>
      <c r="N39" s="315"/>
      <c r="O39" s="315"/>
      <c r="P39" s="315"/>
      <c r="Q39" s="315"/>
      <c r="R39" s="315"/>
      <c r="S39" s="315"/>
      <c r="T39" s="1083"/>
      <c r="U39" s="1084"/>
      <c r="V39" s="1084"/>
      <c r="W39" s="1084"/>
      <c r="X39" s="1084"/>
      <c r="Y39" s="1085"/>
      <c r="Z39" s="340"/>
      <c r="AA39" s="342"/>
      <c r="AB39" s="342"/>
      <c r="AC39" s="342"/>
      <c r="AD39" s="340"/>
      <c r="AE39" s="340"/>
      <c r="AF39" s="340"/>
      <c r="AG39" s="340"/>
      <c r="AH39" s="340"/>
      <c r="AI39" s="340"/>
      <c r="AJ39" s="340"/>
      <c r="AK39" s="340"/>
      <c r="AL39" s="340"/>
      <c r="AM39" s="340"/>
      <c r="AN39" s="340"/>
      <c r="AO39" s="340"/>
      <c r="AP39" s="342"/>
      <c r="AQ39" s="342"/>
    </row>
    <row r="40" spans="2:43" ht="22.95" customHeight="1">
      <c r="B40" s="915"/>
      <c r="C40" s="1150" t="s">
        <v>175</v>
      </c>
      <c r="D40" s="1150"/>
      <c r="E40" s="1151" t="s">
        <v>176</v>
      </c>
      <c r="F40" s="1151"/>
      <c r="G40" s="1151"/>
      <c r="H40" s="1151"/>
      <c r="I40" s="1088"/>
      <c r="J40" s="916"/>
      <c r="L40" s="1073"/>
      <c r="M40" s="315"/>
      <c r="N40" s="315"/>
      <c r="O40" s="315"/>
      <c r="P40" s="315"/>
      <c r="Q40" s="315"/>
      <c r="R40" s="315"/>
      <c r="S40" s="315"/>
      <c r="T40" s="315"/>
      <c r="U40" s="165"/>
      <c r="V40" s="165"/>
      <c r="W40" s="165"/>
      <c r="X40" s="165"/>
      <c r="Y40" s="166"/>
      <c r="Z40" s="340"/>
      <c r="AA40" s="342"/>
      <c r="AB40" s="342"/>
      <c r="AC40" s="342"/>
      <c r="AD40" s="1114">
        <f>IF(E40="",1,0)</f>
        <v>0</v>
      </c>
      <c r="AE40" s="340"/>
      <c r="AF40" s="340"/>
      <c r="AG40" s="340"/>
      <c r="AH40" s="340"/>
      <c r="AI40" s="340"/>
      <c r="AJ40" s="340"/>
      <c r="AK40" s="340"/>
      <c r="AL40" s="340"/>
      <c r="AM40" s="340"/>
      <c r="AN40" s="340"/>
      <c r="AO40" s="340"/>
      <c r="AP40" s="342"/>
      <c r="AQ40" s="342"/>
    </row>
    <row r="41" spans="2:43" ht="22.95" customHeight="1">
      <c r="B41" s="915"/>
      <c r="C41" s="1152" t="s">
        <v>177</v>
      </c>
      <c r="D41" s="1152"/>
      <c r="E41" s="1149" t="s">
        <v>178</v>
      </c>
      <c r="F41" s="1149"/>
      <c r="G41" s="1149"/>
      <c r="H41" s="1149"/>
      <c r="I41" s="1088"/>
      <c r="J41" s="916"/>
      <c r="L41" s="1073"/>
      <c r="M41" s="315"/>
      <c r="N41" s="315"/>
      <c r="O41" s="315"/>
      <c r="P41" s="315"/>
      <c r="Q41" s="315"/>
      <c r="R41" s="315"/>
      <c r="S41" s="315"/>
      <c r="T41" s="315"/>
      <c r="U41" s="165"/>
      <c r="V41" s="165"/>
      <c r="W41" s="165"/>
      <c r="X41" s="165"/>
      <c r="Y41" s="166"/>
      <c r="Z41" s="340"/>
      <c r="AA41" s="342"/>
      <c r="AB41" s="342"/>
      <c r="AC41" s="342"/>
      <c r="AD41" s="1115">
        <f>IF(E41="",1,0)</f>
        <v>0</v>
      </c>
      <c r="AE41" s="340"/>
      <c r="AF41" s="340"/>
      <c r="AG41" s="340"/>
      <c r="AH41" s="340"/>
      <c r="AI41" s="340"/>
      <c r="AJ41" s="340"/>
      <c r="AK41" s="340"/>
      <c r="AL41" s="340"/>
      <c r="AM41" s="340"/>
      <c r="AN41" s="340"/>
      <c r="AO41" s="340"/>
      <c r="AP41" s="342"/>
      <c r="AQ41" s="342"/>
    </row>
    <row r="42" spans="2:43" ht="22.95" customHeight="1" thickBot="1">
      <c r="B42" s="920"/>
      <c r="C42" s="921"/>
      <c r="D42" s="921"/>
      <c r="E42" s="921"/>
      <c r="F42" s="921"/>
      <c r="G42" s="927"/>
      <c r="H42" s="921"/>
      <c r="I42" s="921"/>
      <c r="J42" s="922"/>
      <c r="L42" s="1089"/>
      <c r="M42" s="1090"/>
      <c r="N42" s="1090"/>
      <c r="O42" s="1090"/>
      <c r="P42" s="1090"/>
      <c r="Q42" s="1090"/>
      <c r="R42" s="1090"/>
      <c r="S42" s="1090"/>
      <c r="T42" s="1090"/>
      <c r="U42" s="1091"/>
      <c r="V42" s="1091"/>
      <c r="W42" s="1091"/>
      <c r="X42" s="1091"/>
      <c r="Y42" s="1092"/>
      <c r="Z42" s="340"/>
      <c r="AA42" s="342"/>
      <c r="AB42" s="342"/>
      <c r="AC42" s="342"/>
      <c r="AD42" s="342"/>
      <c r="AE42" s="342"/>
      <c r="AF42" s="342"/>
      <c r="AG42" s="342"/>
      <c r="AH42" s="342"/>
      <c r="AI42" s="342"/>
      <c r="AJ42" s="342"/>
      <c r="AK42" s="342"/>
      <c r="AL42" s="342"/>
      <c r="AM42" s="342"/>
      <c r="AN42" s="342"/>
      <c r="AO42" s="342"/>
      <c r="AP42" s="342"/>
      <c r="AQ42" s="342"/>
    </row>
    <row r="43" spans="2:43" ht="22.95" customHeight="1">
      <c r="G43" s="928"/>
      <c r="K43" s="339" t="s">
        <v>179</v>
      </c>
      <c r="Z43" s="340"/>
      <c r="AA43" s="342"/>
      <c r="AB43" s="342"/>
      <c r="AC43" s="342"/>
      <c r="AD43" s="342"/>
      <c r="AE43" s="342"/>
      <c r="AF43" s="342"/>
      <c r="AG43" s="342"/>
      <c r="AH43" s="342"/>
      <c r="AI43" s="342"/>
      <c r="AJ43" s="342"/>
      <c r="AK43" s="342"/>
      <c r="AL43" s="342"/>
      <c r="AM43" s="342"/>
      <c r="AN43" s="342"/>
      <c r="AO43" s="342"/>
      <c r="AP43" s="342"/>
      <c r="AQ43" s="342"/>
    </row>
    <row r="44" spans="2:43" s="23" customFormat="1" ht="15">
      <c r="C44" s="19" t="s">
        <v>52</v>
      </c>
      <c r="G44" s="24"/>
      <c r="H44" s="22" t="s">
        <v>180</v>
      </c>
      <c r="I44" s="22"/>
      <c r="L44" s="339"/>
      <c r="M44" s="339"/>
      <c r="N44" s="339"/>
      <c r="O44" s="339"/>
      <c r="P44" s="339"/>
      <c r="Q44" s="339"/>
      <c r="R44" s="339"/>
      <c r="S44" s="339"/>
      <c r="T44" s="339"/>
      <c r="U44" s="339"/>
      <c r="V44" s="339"/>
      <c r="W44" s="339"/>
      <c r="X44" s="339"/>
      <c r="Y44" s="339"/>
      <c r="Z44" s="340"/>
      <c r="AA44" s="744"/>
      <c r="AB44" s="744"/>
      <c r="AC44" s="744"/>
      <c r="AD44" s="744"/>
      <c r="AE44" s="744"/>
      <c r="AF44" s="744"/>
      <c r="AG44" s="744"/>
      <c r="AH44" s="744"/>
      <c r="AI44" s="744"/>
      <c r="AJ44" s="744"/>
      <c r="AK44" s="744"/>
      <c r="AL44" s="744"/>
      <c r="AM44" s="744"/>
      <c r="AN44" s="744"/>
      <c r="AO44" s="744"/>
      <c r="AP44" s="744"/>
      <c r="AQ44" s="744"/>
    </row>
    <row r="45" spans="2:43" s="23" customFormat="1" ht="15">
      <c r="C45" s="19" t="s">
        <v>54</v>
      </c>
      <c r="G45" s="24"/>
      <c r="L45" s="339"/>
      <c r="M45" s="339"/>
      <c r="N45" s="339"/>
      <c r="O45" s="339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40"/>
      <c r="AA45" s="744"/>
      <c r="AB45" s="744"/>
      <c r="AC45" s="744"/>
      <c r="AD45" s="744"/>
      <c r="AE45" s="744"/>
      <c r="AF45" s="744"/>
      <c r="AG45" s="744"/>
      <c r="AH45" s="744"/>
      <c r="AI45" s="744"/>
      <c r="AJ45" s="744"/>
      <c r="AK45" s="744"/>
      <c r="AL45" s="744"/>
      <c r="AM45" s="744"/>
      <c r="AN45" s="744"/>
      <c r="AO45" s="744"/>
      <c r="AP45" s="744"/>
      <c r="AQ45" s="744"/>
    </row>
    <row r="46" spans="2:43" s="23" customFormat="1" ht="15">
      <c r="C46" s="19" t="s">
        <v>55</v>
      </c>
      <c r="G46" s="24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40"/>
      <c r="AA46" s="744"/>
      <c r="AB46" s="744"/>
      <c r="AC46" s="744"/>
      <c r="AD46" s="744"/>
      <c r="AE46" s="744"/>
      <c r="AF46" s="744"/>
      <c r="AG46" s="744"/>
      <c r="AH46" s="744"/>
      <c r="AI46" s="744"/>
      <c r="AJ46" s="744"/>
      <c r="AK46" s="744"/>
      <c r="AL46" s="744"/>
      <c r="AM46" s="744"/>
      <c r="AN46" s="744"/>
      <c r="AO46" s="744"/>
      <c r="AP46" s="744"/>
      <c r="AQ46" s="744"/>
    </row>
    <row r="47" spans="2:43" s="23" customFormat="1" ht="15">
      <c r="C47" s="19" t="s">
        <v>56</v>
      </c>
      <c r="G47" s="24"/>
      <c r="L47" s="339"/>
      <c r="M47" s="339"/>
      <c r="N47" s="339"/>
      <c r="O47" s="339"/>
      <c r="P47" s="339"/>
      <c r="Q47" s="339"/>
      <c r="R47" s="339"/>
      <c r="S47" s="339"/>
      <c r="T47" s="339"/>
      <c r="U47" s="339"/>
      <c r="V47" s="339"/>
      <c r="W47" s="339"/>
      <c r="X47" s="339"/>
      <c r="Y47" s="339"/>
      <c r="Z47" s="1116"/>
      <c r="AA47" s="744"/>
      <c r="AB47" s="744"/>
      <c r="AC47" s="744"/>
      <c r="AD47" s="744"/>
      <c r="AE47" s="744"/>
      <c r="AF47" s="744"/>
      <c r="AG47" s="744"/>
      <c r="AH47" s="744"/>
      <c r="AI47" s="744"/>
      <c r="AJ47" s="744"/>
      <c r="AK47" s="744"/>
      <c r="AL47" s="744"/>
      <c r="AM47" s="744"/>
      <c r="AN47" s="744"/>
      <c r="AO47" s="744"/>
      <c r="AP47" s="744"/>
      <c r="AQ47" s="744"/>
    </row>
    <row r="48" spans="2:43" s="23" customFormat="1" ht="15">
      <c r="C48" s="19" t="s">
        <v>57</v>
      </c>
      <c r="G48" s="24"/>
      <c r="L48" s="339"/>
      <c r="M48" s="339"/>
      <c r="N48" s="339"/>
      <c r="O48" s="339"/>
      <c r="P48" s="339"/>
      <c r="Q48" s="339"/>
      <c r="R48" s="339"/>
      <c r="S48" s="339"/>
      <c r="T48" s="339"/>
      <c r="U48" s="339"/>
      <c r="V48" s="339"/>
      <c r="W48" s="339"/>
      <c r="X48" s="339"/>
      <c r="Y48" s="339"/>
      <c r="Z48" s="1116"/>
    </row>
    <row r="49" spans="3:26" s="23" customFormat="1" ht="15">
      <c r="C49" s="19"/>
      <c r="G49" s="24"/>
      <c r="L49" s="339"/>
      <c r="M49" s="339"/>
      <c r="N49" s="339"/>
      <c r="O49" s="339"/>
      <c r="P49" s="339"/>
      <c r="Q49" s="339"/>
      <c r="R49" s="339"/>
      <c r="S49" s="339"/>
      <c r="T49" s="339"/>
      <c r="U49" s="339"/>
      <c r="V49" s="339"/>
      <c r="W49" s="339"/>
      <c r="X49" s="339"/>
      <c r="Y49" s="339"/>
      <c r="Z49" s="340"/>
    </row>
    <row r="50" spans="3:26" s="23" customFormat="1" ht="15"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  <c r="W50" s="339"/>
      <c r="X50" s="339"/>
      <c r="Y50" s="339"/>
      <c r="Z50" s="340"/>
    </row>
    <row r="51" spans="3:26" s="23" customFormat="1" ht="15">
      <c r="L51" s="339"/>
      <c r="M51" s="339"/>
      <c r="N51" s="339"/>
      <c r="O51" s="339"/>
      <c r="P51" s="339"/>
      <c r="Q51" s="339"/>
      <c r="R51" s="339"/>
      <c r="S51" s="339"/>
      <c r="T51" s="339"/>
      <c r="U51" s="339"/>
      <c r="V51" s="339"/>
      <c r="W51" s="339"/>
      <c r="X51" s="339"/>
      <c r="Y51" s="339"/>
      <c r="Z51" s="340"/>
    </row>
    <row r="52" spans="3:26" ht="22.95" customHeight="1">
      <c r="J52" s="23"/>
      <c r="K52" s="23"/>
      <c r="Z52" s="340"/>
    </row>
    <row r="53" spans="3:26" ht="22.95" customHeight="1">
      <c r="J53" s="23"/>
      <c r="K53" s="23"/>
      <c r="Z53" s="340"/>
    </row>
    <row r="54" spans="3:26" ht="22.95" customHeight="1">
      <c r="J54" s="23"/>
      <c r="K54" s="23"/>
      <c r="Z54" s="340"/>
    </row>
    <row r="55" spans="3:26" ht="22.95" customHeight="1">
      <c r="J55" s="23"/>
      <c r="K55" s="23"/>
      <c r="Z55" s="340"/>
    </row>
    <row r="56" spans="3:26" ht="22.95" customHeight="1">
      <c r="J56" s="23"/>
      <c r="K56" s="23"/>
      <c r="Z56" s="340"/>
    </row>
    <row r="57" spans="3:26" ht="22.95" customHeight="1">
      <c r="C57" s="318"/>
      <c r="G57" s="928"/>
      <c r="J57" s="23"/>
      <c r="K57" s="23"/>
      <c r="Z57" s="340"/>
    </row>
    <row r="58" spans="3:26" ht="22.95" customHeight="1">
      <c r="C58" s="318"/>
      <c r="G58" s="928"/>
      <c r="Z58" s="340"/>
    </row>
    <row r="59" spans="3:26" ht="22.95" customHeight="1">
      <c r="C59" s="318"/>
      <c r="Z59" s="340"/>
    </row>
    <row r="60" spans="3:26" ht="22.95" customHeight="1">
      <c r="C60" s="318"/>
      <c r="Z60" s="340"/>
    </row>
    <row r="61" spans="3:26" ht="22.95" customHeight="1">
      <c r="C61" s="318"/>
      <c r="Z61" s="340"/>
    </row>
    <row r="62" spans="3:26" ht="22.95" customHeight="1">
      <c r="C62" s="318"/>
      <c r="Z62" s="340"/>
    </row>
    <row r="63" spans="3:26" ht="22.95" customHeight="1">
      <c r="C63" s="318"/>
      <c r="Z63" s="340"/>
    </row>
    <row r="64" spans="3:26" ht="22.95" customHeight="1">
      <c r="C64" s="318"/>
      <c r="Z64" s="340"/>
    </row>
    <row r="65" spans="3:26" ht="22.95" customHeight="1">
      <c r="C65" s="318"/>
      <c r="Z65" s="340"/>
    </row>
    <row r="66" spans="3:26" ht="22.95" customHeight="1">
      <c r="C66" s="318"/>
      <c r="Z66" s="340"/>
    </row>
    <row r="67" spans="3:26" ht="22.95" customHeight="1">
      <c r="C67" s="318"/>
      <c r="Z67" s="340"/>
    </row>
    <row r="68" spans="3:26" ht="22.95" customHeight="1">
      <c r="C68" s="318"/>
      <c r="Z68" s="340"/>
    </row>
    <row r="69" spans="3:26" ht="22.95" customHeight="1">
      <c r="C69" s="318"/>
      <c r="Z69" s="340"/>
    </row>
    <row r="70" spans="3:26" ht="22.95" customHeight="1">
      <c r="C70" s="318"/>
      <c r="Z70" s="340"/>
    </row>
    <row r="71" spans="3:26" ht="22.95" customHeight="1">
      <c r="C71" s="318"/>
      <c r="Z71" s="340"/>
    </row>
    <row r="72" spans="3:26" ht="22.95" customHeight="1">
      <c r="C72" s="318"/>
      <c r="Z72" s="340"/>
    </row>
    <row r="73" spans="3:26" ht="22.95" customHeight="1">
      <c r="C73" s="318"/>
      <c r="Z73" s="340"/>
    </row>
    <row r="74" spans="3:26" ht="22.95" customHeight="1">
      <c r="C74" s="318"/>
      <c r="Z74" s="340"/>
    </row>
    <row r="75" spans="3:26" ht="22.95" customHeight="1">
      <c r="C75" s="318"/>
    </row>
    <row r="76" spans="3:26" ht="22.95" customHeight="1">
      <c r="C76" s="318"/>
    </row>
    <row r="77" spans="3:26" ht="22.95" customHeight="1">
      <c r="C77" s="318"/>
    </row>
    <row r="78" spans="3:26" ht="22.95" customHeight="1">
      <c r="C78" s="318"/>
    </row>
  </sheetData>
  <sheetProtection algorithmName="SHA-512" hashValue="ZouOEKzjSVmSp6YhSLXYEMiI+WHBN81oBt3iQLcL9rdhzjdJn22H81ud/y1s6n4kGDI/onrEjAxWdTPpT/dIkA==" saltValue="2PymJz2ZEoHfp9ltxQoeMA==" spinCount="100000" sheet="1" objects="1" scenarios="1"/>
  <mergeCells count="22">
    <mergeCell ref="D29:F29"/>
    <mergeCell ref="D30:F30"/>
    <mergeCell ref="H6:I7"/>
    <mergeCell ref="D9:H9"/>
    <mergeCell ref="D23:F23"/>
    <mergeCell ref="D24:F24"/>
    <mergeCell ref="D25:F25"/>
    <mergeCell ref="D26:F26"/>
    <mergeCell ref="D27:F27"/>
    <mergeCell ref="D28:F28"/>
    <mergeCell ref="C41:D41"/>
    <mergeCell ref="E41:H41"/>
    <mergeCell ref="D34:F34"/>
    <mergeCell ref="D35:F35"/>
    <mergeCell ref="D36:F36"/>
    <mergeCell ref="D37:F37"/>
    <mergeCell ref="D38:F38"/>
    <mergeCell ref="D31:F31"/>
    <mergeCell ref="D32:F32"/>
    <mergeCell ref="D33:F33"/>
    <mergeCell ref="C40:D40"/>
    <mergeCell ref="E40:H40"/>
  </mergeCells>
  <phoneticPr fontId="16" type="noConversion"/>
  <dataValidations count="1">
    <dataValidation type="list" allowBlank="1" showInputMessage="1" showErrorMessage="1" sqref="G23:G38" xr:uid="{00000000-0002-0000-0200-000000000000}">
      <formula1>$AM$19:$AM$22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78" orientation="portrait" horizontalDpi="4294967292" verticalDpi="4294967292" r:id="rId1"/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2:AG61"/>
  <sheetViews>
    <sheetView zoomScale="80" zoomScaleNormal="80" workbookViewId="0">
      <selection activeCell="J18" sqref="J18"/>
    </sheetView>
  </sheetViews>
  <sheetFormatPr baseColWidth="10" defaultColWidth="10.54296875" defaultRowHeight="22.95" customHeight="1"/>
  <cols>
    <col min="1" max="1" width="4.1796875" style="23" bestFit="1" customWidth="1"/>
    <col min="2" max="2" width="3.1796875" style="23" customWidth="1"/>
    <col min="3" max="3" width="13.54296875" style="23" customWidth="1"/>
    <col min="4" max="4" width="16.453125" style="23" customWidth="1"/>
    <col min="5" max="5" width="14" style="23" customWidth="1"/>
    <col min="6" max="7" width="16.453125" style="23" customWidth="1"/>
    <col min="8" max="8" width="10.1796875" style="23" customWidth="1"/>
    <col min="9" max="9" width="13" style="23" customWidth="1"/>
    <col min="10" max="10" width="10.54296875" style="23"/>
    <col min="11" max="11" width="2" style="23" customWidth="1"/>
    <col min="12" max="12" width="12.54296875" style="23" customWidth="1"/>
    <col min="13" max="15" width="10.54296875" style="23"/>
    <col min="16" max="16" width="30.453125" style="23" customWidth="1"/>
    <col min="17" max="17" width="3.453125" style="23" customWidth="1"/>
    <col min="18" max="32" width="10.54296875" style="23"/>
    <col min="33" max="33" width="10.54296875" style="744"/>
    <col min="34" max="16384" width="10.54296875" style="23"/>
  </cols>
  <sheetData>
    <row r="2" spans="1:33" ht="22.95" customHeight="1">
      <c r="D2" s="318" t="str">
        <f>_GENERAL!D2</f>
        <v>Área de la Presidenta: Igualdad y Diversidad, Hacienda y Proyectos Estratégicos</v>
      </c>
    </row>
    <row r="3" spans="1:33" ht="22.95" customHeight="1">
      <c r="D3" s="318" t="str">
        <f>_GENERAL!D3</f>
        <v>Dirección Insular de Hacienda</v>
      </c>
    </row>
    <row r="4" spans="1:33" ht="22.95" customHeight="1" thickBot="1">
      <c r="A4" s="23" t="s">
        <v>129</v>
      </c>
    </row>
    <row r="5" spans="1:33" ht="9" customHeight="1">
      <c r="B5" s="234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6"/>
      <c r="S5" s="700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2"/>
    </row>
    <row r="6" spans="1:33" ht="30" customHeight="1">
      <c r="B6" s="237"/>
      <c r="C6" s="1" t="s">
        <v>2</v>
      </c>
      <c r="P6" s="1138">
        <f>ejercicio</f>
        <v>2025</v>
      </c>
      <c r="Q6" s="238"/>
      <c r="S6" s="163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6"/>
      <c r="AG6" s="23"/>
    </row>
    <row r="7" spans="1:33" ht="30" customHeight="1">
      <c r="B7" s="237"/>
      <c r="C7" s="1" t="s">
        <v>3</v>
      </c>
      <c r="M7" s="239"/>
      <c r="P7" s="1138"/>
      <c r="Q7" s="238"/>
      <c r="S7" s="167"/>
      <c r="T7" s="164" t="s">
        <v>130</v>
      </c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9"/>
      <c r="AG7" s="23"/>
    </row>
    <row r="8" spans="1:33" ht="30" customHeight="1">
      <c r="B8" s="237"/>
      <c r="C8" s="240"/>
      <c r="M8" s="239"/>
      <c r="O8" s="211"/>
      <c r="P8" s="211"/>
      <c r="Q8" s="238"/>
      <c r="S8" s="703"/>
      <c r="T8" s="704"/>
      <c r="U8" s="704"/>
      <c r="V8" s="704"/>
      <c r="W8" s="704"/>
      <c r="X8" s="704"/>
      <c r="Y8" s="704"/>
      <c r="Z8" s="704"/>
      <c r="AA8" s="704"/>
      <c r="AB8" s="704"/>
      <c r="AC8" s="704"/>
      <c r="AD8" s="704"/>
      <c r="AE8" s="704"/>
      <c r="AF8" s="705"/>
      <c r="AG8" s="23"/>
    </row>
    <row r="9" spans="1:33" s="241" customFormat="1" ht="30" customHeight="1">
      <c r="A9" s="339"/>
      <c r="B9" s="915"/>
      <c r="C9" s="20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233"/>
      <c r="Q9" s="916"/>
      <c r="R9" s="339"/>
      <c r="S9" s="706"/>
      <c r="T9" s="707"/>
      <c r="U9" s="707"/>
      <c r="V9" s="707"/>
      <c r="W9" s="707"/>
      <c r="X9" s="707"/>
      <c r="Y9" s="707"/>
      <c r="Z9" s="707"/>
      <c r="AA9" s="707"/>
      <c r="AB9" s="707"/>
      <c r="AC9" s="707"/>
      <c r="AD9" s="707"/>
      <c r="AE9" s="707"/>
      <c r="AF9" s="708"/>
      <c r="AG9" s="339"/>
    </row>
    <row r="10" spans="1:33" ht="7.2" customHeight="1">
      <c r="B10" s="237"/>
      <c r="I10" s="239"/>
      <c r="Q10" s="238"/>
      <c r="S10" s="706"/>
      <c r="T10" s="707"/>
      <c r="U10" s="707"/>
      <c r="V10" s="707"/>
      <c r="W10" s="707"/>
      <c r="X10" s="707"/>
      <c r="Y10" s="707"/>
      <c r="Z10" s="707"/>
      <c r="AA10" s="707"/>
      <c r="AB10" s="707"/>
      <c r="AC10" s="707"/>
      <c r="AD10" s="707"/>
      <c r="AE10" s="707"/>
      <c r="AF10" s="708"/>
    </row>
    <row r="11" spans="1:33" s="27" customFormat="1" ht="30" customHeight="1">
      <c r="B11" s="10"/>
      <c r="C11" s="4" t="s">
        <v>181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242"/>
      <c r="S11" s="706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745"/>
    </row>
    <row r="12" spans="1:33" ht="22.95" customHeight="1">
      <c r="B12" s="237"/>
      <c r="Q12" s="238"/>
      <c r="S12" s="706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</row>
    <row r="13" spans="1:33" ht="22.95" customHeight="1">
      <c r="B13" s="237"/>
      <c r="C13" s="5" t="s">
        <v>182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238"/>
      <c r="S13" s="706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</row>
    <row r="14" spans="1:33" ht="22.95" customHeight="1">
      <c r="B14" s="237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38"/>
      <c r="S14" s="706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</row>
    <row r="15" spans="1:33" ht="22.95" customHeight="1">
      <c r="B15" s="237"/>
      <c r="F15" s="1158" t="s">
        <v>183</v>
      </c>
      <c r="G15" s="1158"/>
      <c r="H15" s="1158"/>
      <c r="I15" s="243">
        <f>ejercicio-2</f>
        <v>2023</v>
      </c>
      <c r="J15" s="244"/>
      <c r="L15" s="1158" t="s">
        <v>184</v>
      </c>
      <c r="M15" s="1158"/>
      <c r="N15" s="1158"/>
      <c r="O15" s="245">
        <f>ejercicio-1</f>
        <v>2024</v>
      </c>
      <c r="P15" s="246"/>
      <c r="Q15" s="238"/>
      <c r="S15" s="706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</row>
    <row r="16" spans="1:33" s="254" customFormat="1" ht="51" customHeight="1">
      <c r="B16" s="247"/>
      <c r="C16" s="248" t="s">
        <v>185</v>
      </c>
      <c r="D16" s="248"/>
      <c r="E16" s="249" t="s">
        <v>186</v>
      </c>
      <c r="F16" s="249" t="s">
        <v>187</v>
      </c>
      <c r="G16" s="249" t="s">
        <v>188</v>
      </c>
      <c r="H16" s="250" t="s">
        <v>189</v>
      </c>
      <c r="I16" s="249" t="s">
        <v>190</v>
      </c>
      <c r="J16" s="249" t="s">
        <v>191</v>
      </c>
      <c r="K16" s="249"/>
      <c r="L16" s="251" t="s">
        <v>192</v>
      </c>
      <c r="M16" s="251" t="s">
        <v>193</v>
      </c>
      <c r="N16" s="251" t="s">
        <v>194</v>
      </c>
      <c r="O16" s="251" t="s">
        <v>195</v>
      </c>
      <c r="P16" s="252" t="s">
        <v>196</v>
      </c>
      <c r="Q16" s="253"/>
      <c r="S16" s="706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746"/>
    </row>
    <row r="17" spans="2:33" ht="22.95" customHeight="1">
      <c r="B17" s="237"/>
      <c r="C17" s="859" t="s">
        <v>197</v>
      </c>
      <c r="D17" s="859"/>
      <c r="E17" s="860" t="s">
        <v>198</v>
      </c>
      <c r="F17" s="176">
        <v>0.56061406552000004</v>
      </c>
      <c r="G17" s="261"/>
      <c r="H17" s="261"/>
      <c r="I17" s="178">
        <v>92020</v>
      </c>
      <c r="J17" s="178">
        <f>265815.02*F17</f>
        <v>149019.63903848012</v>
      </c>
      <c r="K17" s="178"/>
      <c r="L17" s="178"/>
      <c r="M17" s="178"/>
      <c r="N17" s="178"/>
      <c r="O17" s="178"/>
      <c r="P17" s="178" t="s">
        <v>199</v>
      </c>
      <c r="Q17" s="238"/>
      <c r="S17" s="706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744">
        <f>IF(C17="",1,0)</f>
        <v>0</v>
      </c>
    </row>
    <row r="18" spans="2:33" ht="22.95" customHeight="1">
      <c r="B18" s="237"/>
      <c r="C18" s="179" t="s">
        <v>200</v>
      </c>
      <c r="D18" s="179"/>
      <c r="E18" s="264" t="s">
        <v>201</v>
      </c>
      <c r="F18" s="180">
        <v>7.3230980000000001E-2</v>
      </c>
      <c r="G18" s="262"/>
      <c r="H18" s="262"/>
      <c r="I18" s="182">
        <v>12020.24</v>
      </c>
      <c r="J18" s="182">
        <f>265815.02*F18</f>
        <v>19465.894413319602</v>
      </c>
      <c r="K18" s="182"/>
      <c r="L18" s="182"/>
      <c r="M18" s="182"/>
      <c r="N18" s="182"/>
      <c r="O18" s="182"/>
      <c r="P18" s="182" t="s">
        <v>202</v>
      </c>
      <c r="Q18" s="238"/>
      <c r="S18" s="706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</row>
    <row r="19" spans="2:33" ht="22.95" customHeight="1">
      <c r="B19" s="237"/>
      <c r="C19" s="179" t="s">
        <v>203</v>
      </c>
      <c r="D19" s="179"/>
      <c r="E19" s="264" t="s">
        <v>204</v>
      </c>
      <c r="F19" s="180">
        <v>7.3230980000000001E-2</v>
      </c>
      <c r="G19" s="262"/>
      <c r="H19" s="262"/>
      <c r="I19" s="182">
        <v>12020.24</v>
      </c>
      <c r="J19" s="182">
        <f t="shared" ref="J19:J23" si="0">265815.02*F19</f>
        <v>19465.894413319602</v>
      </c>
      <c r="K19" s="182"/>
      <c r="L19" s="182"/>
      <c r="M19" s="182"/>
      <c r="N19" s="182"/>
      <c r="O19" s="182"/>
      <c r="P19" s="182" t="s">
        <v>205</v>
      </c>
      <c r="Q19" s="238"/>
      <c r="S19" s="706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</row>
    <row r="20" spans="2:33" ht="22.95" customHeight="1">
      <c r="B20" s="237"/>
      <c r="C20" s="179" t="s">
        <v>206</v>
      </c>
      <c r="D20" s="179"/>
      <c r="E20" s="264" t="s">
        <v>207</v>
      </c>
      <c r="F20" s="180">
        <v>7.3230980000000001E-2</v>
      </c>
      <c r="G20" s="262"/>
      <c r="H20" s="262"/>
      <c r="I20" s="182">
        <v>12020.24</v>
      </c>
      <c r="J20" s="182">
        <f t="shared" si="0"/>
        <v>19465.894413319602</v>
      </c>
      <c r="K20" s="182"/>
      <c r="L20" s="182"/>
      <c r="M20" s="182"/>
      <c r="N20" s="182"/>
      <c r="O20" s="182"/>
      <c r="P20" s="182" t="s">
        <v>208</v>
      </c>
      <c r="Q20" s="238"/>
      <c r="S20" s="706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</row>
    <row r="21" spans="2:33" ht="22.95" customHeight="1">
      <c r="B21" s="237"/>
      <c r="C21" s="179" t="s">
        <v>209</v>
      </c>
      <c r="D21" s="179"/>
      <c r="E21" s="264" t="s">
        <v>210</v>
      </c>
      <c r="F21" s="180">
        <v>7.3230980000000001E-2</v>
      </c>
      <c r="G21" s="262"/>
      <c r="H21" s="262"/>
      <c r="I21" s="182">
        <v>12020.24</v>
      </c>
      <c r="J21" s="182">
        <f t="shared" si="0"/>
        <v>19465.894413319602</v>
      </c>
      <c r="K21" s="182"/>
      <c r="L21" s="182"/>
      <c r="M21" s="182"/>
      <c r="N21" s="182"/>
      <c r="O21" s="182"/>
      <c r="P21" s="182" t="s">
        <v>211</v>
      </c>
      <c r="Q21" s="238"/>
      <c r="S21" s="706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</row>
    <row r="22" spans="2:33" ht="22.95" customHeight="1">
      <c r="B22" s="237"/>
      <c r="C22" s="179" t="s">
        <v>212</v>
      </c>
      <c r="D22" s="179"/>
      <c r="E22" s="264" t="s">
        <v>213</v>
      </c>
      <c r="F22" s="180">
        <v>7.3230980000000001E-2</v>
      </c>
      <c r="G22" s="262"/>
      <c r="H22" s="262"/>
      <c r="I22" s="182">
        <v>12020.24</v>
      </c>
      <c r="J22" s="182">
        <f t="shared" si="0"/>
        <v>19465.894413319602</v>
      </c>
      <c r="K22" s="182"/>
      <c r="L22" s="182"/>
      <c r="M22" s="182"/>
      <c r="N22" s="182"/>
      <c r="O22" s="182"/>
      <c r="P22" s="182"/>
      <c r="Q22" s="238"/>
      <c r="S22" s="706"/>
      <c r="T22" s="707"/>
      <c r="U22" s="707"/>
      <c r="V22" s="707"/>
      <c r="W22" s="707"/>
      <c r="X22" s="707"/>
      <c r="Y22" s="707"/>
      <c r="Z22" s="707"/>
      <c r="AA22" s="707"/>
      <c r="AB22" s="707"/>
      <c r="AC22" s="707"/>
      <c r="AD22" s="707"/>
      <c r="AE22" s="707"/>
      <c r="AF22" s="708"/>
    </row>
    <row r="23" spans="2:33" ht="22.95" customHeight="1">
      <c r="B23" s="237"/>
      <c r="C23" s="179" t="s">
        <v>214</v>
      </c>
      <c r="D23" s="179"/>
      <c r="E23" s="264" t="s">
        <v>215</v>
      </c>
      <c r="F23" s="180">
        <v>7.3230980000000001E-2</v>
      </c>
      <c r="G23" s="262"/>
      <c r="H23" s="262"/>
      <c r="I23" s="182">
        <v>12020.24</v>
      </c>
      <c r="J23" s="182">
        <f t="shared" si="0"/>
        <v>19465.894413319602</v>
      </c>
      <c r="K23" s="182"/>
      <c r="L23" s="182"/>
      <c r="M23" s="182"/>
      <c r="N23" s="182"/>
      <c r="O23" s="182"/>
      <c r="P23" s="182"/>
      <c r="Q23" s="238"/>
      <c r="S23" s="706"/>
      <c r="T23" s="707"/>
      <c r="U23" s="707"/>
      <c r="V23" s="707"/>
      <c r="W23" s="707"/>
      <c r="X23" s="707"/>
      <c r="Y23" s="707"/>
      <c r="Z23" s="707"/>
      <c r="AA23" s="707"/>
      <c r="AB23" s="707"/>
      <c r="AC23" s="707"/>
      <c r="AD23" s="707"/>
      <c r="AE23" s="707"/>
      <c r="AF23" s="708"/>
    </row>
    <row r="24" spans="2:33" ht="22.95" customHeight="1">
      <c r="B24" s="237"/>
      <c r="C24" s="179"/>
      <c r="D24" s="179"/>
      <c r="E24" s="264"/>
      <c r="F24" s="180"/>
      <c r="G24" s="262"/>
      <c r="H24" s="262"/>
      <c r="I24" s="182"/>
      <c r="J24" s="182" t="str">
        <f t="shared" ref="J24:J27" si="1">IF(C24="","",$J$17)</f>
        <v/>
      </c>
      <c r="K24" s="182"/>
      <c r="L24" s="182"/>
      <c r="M24" s="182"/>
      <c r="N24" s="182"/>
      <c r="O24" s="182"/>
      <c r="P24" s="182"/>
      <c r="Q24" s="238"/>
      <c r="S24" s="706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</row>
    <row r="25" spans="2:33" ht="22.95" customHeight="1">
      <c r="B25" s="237"/>
      <c r="C25" s="179"/>
      <c r="D25" s="179"/>
      <c r="E25" s="264"/>
      <c r="F25" s="180"/>
      <c r="G25" s="262"/>
      <c r="H25" s="262"/>
      <c r="I25" s="182"/>
      <c r="J25" s="182" t="str">
        <f t="shared" si="1"/>
        <v/>
      </c>
      <c r="K25" s="182"/>
      <c r="L25" s="182"/>
      <c r="M25" s="182"/>
      <c r="N25" s="182"/>
      <c r="O25" s="182"/>
      <c r="P25" s="182"/>
      <c r="Q25" s="238"/>
      <c r="S25" s="706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</row>
    <row r="26" spans="2:33" ht="22.95" customHeight="1">
      <c r="B26" s="237"/>
      <c r="C26" s="179"/>
      <c r="D26" s="179"/>
      <c r="E26" s="264"/>
      <c r="F26" s="180"/>
      <c r="G26" s="262"/>
      <c r="H26" s="262"/>
      <c r="I26" s="182"/>
      <c r="J26" s="182" t="str">
        <f t="shared" si="1"/>
        <v/>
      </c>
      <c r="K26" s="182"/>
      <c r="L26" s="182"/>
      <c r="M26" s="182"/>
      <c r="N26" s="182"/>
      <c r="O26" s="182"/>
      <c r="P26" s="182"/>
      <c r="Q26" s="238"/>
      <c r="S26" s="706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</row>
    <row r="27" spans="2:33" ht="22.95" customHeight="1">
      <c r="B27" s="237"/>
      <c r="C27" s="179"/>
      <c r="D27" s="179"/>
      <c r="E27" s="264"/>
      <c r="F27" s="180"/>
      <c r="G27" s="262"/>
      <c r="H27" s="262"/>
      <c r="I27" s="182"/>
      <c r="J27" s="182" t="str">
        <f t="shared" si="1"/>
        <v/>
      </c>
      <c r="K27" s="182"/>
      <c r="L27" s="182"/>
      <c r="M27" s="182"/>
      <c r="N27" s="182"/>
      <c r="O27" s="182"/>
      <c r="P27" s="182"/>
      <c r="Q27" s="238"/>
      <c r="S27" s="706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</row>
    <row r="28" spans="2:33" ht="22.95" customHeight="1">
      <c r="B28" s="237"/>
      <c r="Q28" s="238"/>
      <c r="S28" s="706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</row>
    <row r="29" spans="2:33" ht="22.95" customHeight="1">
      <c r="B29" s="237"/>
      <c r="C29" s="5" t="s">
        <v>216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238"/>
      <c r="S29" s="706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07"/>
      <c r="AF29" s="708"/>
    </row>
    <row r="30" spans="2:33" ht="22.95" customHeight="1">
      <c r="B30" s="237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38"/>
      <c r="S30" s="709"/>
      <c r="T30" s="710"/>
      <c r="U30" s="710"/>
      <c r="V30" s="710"/>
      <c r="W30" s="710"/>
      <c r="X30" s="710"/>
      <c r="Y30" s="710"/>
      <c r="Z30" s="710"/>
      <c r="AA30" s="710"/>
      <c r="AB30" s="710"/>
      <c r="AC30" s="710"/>
      <c r="AD30" s="710"/>
      <c r="AE30" s="710"/>
      <c r="AF30" s="711"/>
    </row>
    <row r="31" spans="2:33" ht="22.95" customHeight="1">
      <c r="B31" s="237"/>
      <c r="F31" s="1158" t="s">
        <v>183</v>
      </c>
      <c r="G31" s="1158"/>
      <c r="H31" s="1158"/>
      <c r="I31" s="243">
        <f>ejercicio-2</f>
        <v>2023</v>
      </c>
      <c r="J31" s="244"/>
      <c r="L31" s="1159" t="s">
        <v>184</v>
      </c>
      <c r="M31" s="1159"/>
      <c r="N31" s="1159"/>
      <c r="O31" s="255">
        <f>ejercicio-1</f>
        <v>2024</v>
      </c>
      <c r="Q31" s="238"/>
      <c r="S31" s="709"/>
      <c r="T31" s="710"/>
      <c r="U31" s="710"/>
      <c r="V31" s="710"/>
      <c r="W31" s="710"/>
      <c r="X31" s="710"/>
      <c r="Y31" s="710"/>
      <c r="Z31" s="710"/>
      <c r="AA31" s="710"/>
      <c r="AB31" s="710"/>
      <c r="AC31" s="710"/>
      <c r="AD31" s="710"/>
      <c r="AE31" s="710"/>
      <c r="AF31" s="711"/>
    </row>
    <row r="32" spans="2:33" ht="43.95" customHeight="1">
      <c r="B32" s="237"/>
      <c r="C32" s="248" t="s">
        <v>185</v>
      </c>
      <c r="D32" s="248"/>
      <c r="E32" s="249" t="s">
        <v>186</v>
      </c>
      <c r="F32" s="249" t="s">
        <v>187</v>
      </c>
      <c r="G32" s="249" t="s">
        <v>217</v>
      </c>
      <c r="H32" s="250" t="s">
        <v>189</v>
      </c>
      <c r="I32" s="249" t="s">
        <v>190</v>
      </c>
      <c r="J32" s="249" t="s">
        <v>218</v>
      </c>
      <c r="K32" s="249"/>
      <c r="L32" s="249" t="s">
        <v>219</v>
      </c>
      <c r="M32" s="249" t="s">
        <v>193</v>
      </c>
      <c r="N32" s="249" t="s">
        <v>220</v>
      </c>
      <c r="O32" s="249" t="s">
        <v>195</v>
      </c>
      <c r="P32" s="252" t="s">
        <v>196</v>
      </c>
      <c r="Q32" s="238"/>
      <c r="S32" s="706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</row>
    <row r="33" spans="2:33" ht="22.95" customHeight="1">
      <c r="B33" s="237"/>
      <c r="C33" s="175"/>
      <c r="D33" s="175"/>
      <c r="E33" s="263"/>
      <c r="F33" s="199"/>
      <c r="G33" s="261"/>
      <c r="H33" s="177"/>
      <c r="I33" s="178"/>
      <c r="J33" s="178"/>
      <c r="K33" s="178"/>
      <c r="L33" s="178"/>
      <c r="M33" s="178"/>
      <c r="N33" s="178"/>
      <c r="O33" s="178"/>
      <c r="P33" s="178"/>
      <c r="Q33" s="238"/>
      <c r="S33" s="706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</row>
    <row r="34" spans="2:33" ht="22.95" customHeight="1">
      <c r="B34" s="237"/>
      <c r="C34" s="179"/>
      <c r="D34" s="179"/>
      <c r="E34" s="264"/>
      <c r="F34" s="200"/>
      <c r="G34" s="262"/>
      <c r="H34" s="181"/>
      <c r="I34" s="182"/>
      <c r="J34" s="182"/>
      <c r="K34" s="182"/>
      <c r="L34" s="182"/>
      <c r="M34" s="182"/>
      <c r="N34" s="182"/>
      <c r="O34" s="182"/>
      <c r="P34" s="182"/>
      <c r="Q34" s="238"/>
      <c r="S34" s="706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</row>
    <row r="35" spans="2:33" ht="22.95" customHeight="1">
      <c r="B35" s="237"/>
      <c r="C35" s="179"/>
      <c r="D35" s="179"/>
      <c r="E35" s="264"/>
      <c r="F35" s="200"/>
      <c r="G35" s="262"/>
      <c r="H35" s="181"/>
      <c r="I35" s="182"/>
      <c r="J35" s="182"/>
      <c r="K35" s="182"/>
      <c r="L35" s="182"/>
      <c r="M35" s="182"/>
      <c r="N35" s="182"/>
      <c r="O35" s="182"/>
      <c r="P35" s="182"/>
      <c r="Q35" s="238"/>
      <c r="S35" s="706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</row>
    <row r="36" spans="2:33" ht="22.95" customHeight="1">
      <c r="B36" s="237"/>
      <c r="C36" s="179"/>
      <c r="D36" s="179"/>
      <c r="E36" s="264"/>
      <c r="F36" s="200"/>
      <c r="G36" s="262"/>
      <c r="H36" s="181"/>
      <c r="I36" s="182"/>
      <c r="J36" s="182"/>
      <c r="K36" s="182"/>
      <c r="L36" s="182"/>
      <c r="M36" s="182"/>
      <c r="N36" s="182"/>
      <c r="O36" s="182"/>
      <c r="P36" s="182"/>
      <c r="Q36" s="238"/>
      <c r="S36" s="712"/>
      <c r="T36" s="713"/>
      <c r="U36" s="713"/>
      <c r="V36" s="713"/>
      <c r="W36" s="713"/>
      <c r="X36" s="713"/>
      <c r="Y36" s="713"/>
      <c r="Z36" s="713"/>
      <c r="AA36" s="713"/>
      <c r="AB36" s="713"/>
      <c r="AC36" s="713"/>
      <c r="AD36" s="713"/>
      <c r="AE36" s="713"/>
      <c r="AF36" s="714"/>
    </row>
    <row r="37" spans="2:33" ht="22.95" customHeight="1">
      <c r="B37" s="237"/>
      <c r="C37" s="179"/>
      <c r="D37" s="179"/>
      <c r="E37" s="264"/>
      <c r="F37" s="200"/>
      <c r="G37" s="262"/>
      <c r="H37" s="181"/>
      <c r="I37" s="182"/>
      <c r="J37" s="182"/>
      <c r="K37" s="182"/>
      <c r="L37" s="182"/>
      <c r="M37" s="182"/>
      <c r="N37" s="182"/>
      <c r="O37" s="182"/>
      <c r="P37" s="182"/>
      <c r="Q37" s="238"/>
      <c r="S37" s="712"/>
      <c r="T37" s="713"/>
      <c r="U37" s="713"/>
      <c r="V37" s="713"/>
      <c r="W37" s="713"/>
      <c r="X37" s="713"/>
      <c r="Y37" s="713"/>
      <c r="Z37" s="713"/>
      <c r="AA37" s="713"/>
      <c r="AB37" s="713"/>
      <c r="AC37" s="713"/>
      <c r="AD37" s="713"/>
      <c r="AE37" s="713"/>
      <c r="AF37" s="714"/>
    </row>
    <row r="38" spans="2:33" ht="22.95" customHeight="1">
      <c r="B38" s="237"/>
      <c r="C38" s="179"/>
      <c r="D38" s="179"/>
      <c r="E38" s="264"/>
      <c r="F38" s="200"/>
      <c r="G38" s="262"/>
      <c r="H38" s="181"/>
      <c r="I38" s="182"/>
      <c r="J38" s="182"/>
      <c r="K38" s="182"/>
      <c r="L38" s="182"/>
      <c r="M38" s="182"/>
      <c r="N38" s="182"/>
      <c r="O38" s="182"/>
      <c r="P38" s="182"/>
      <c r="Q38" s="238"/>
      <c r="S38" s="712"/>
      <c r="T38" s="713"/>
      <c r="U38" s="713"/>
      <c r="V38" s="713"/>
      <c r="W38" s="713"/>
      <c r="X38" s="713"/>
      <c r="Y38" s="713"/>
      <c r="Z38" s="713"/>
      <c r="AA38" s="713"/>
      <c r="AB38" s="713"/>
      <c r="AC38" s="713"/>
      <c r="AD38" s="713"/>
      <c r="AE38" s="713"/>
      <c r="AF38" s="714"/>
    </row>
    <row r="39" spans="2:33" ht="22.95" customHeight="1">
      <c r="B39" s="237"/>
      <c r="C39" s="179"/>
      <c r="D39" s="179"/>
      <c r="E39" s="264"/>
      <c r="F39" s="200"/>
      <c r="G39" s="262"/>
      <c r="H39" s="181"/>
      <c r="I39" s="182"/>
      <c r="J39" s="182"/>
      <c r="K39" s="182"/>
      <c r="L39" s="182"/>
      <c r="M39" s="182"/>
      <c r="N39" s="182"/>
      <c r="O39" s="182"/>
      <c r="P39" s="182"/>
      <c r="Q39" s="238"/>
      <c r="S39" s="712"/>
      <c r="T39" s="713"/>
      <c r="U39" s="713"/>
      <c r="V39" s="713"/>
      <c r="W39" s="713"/>
      <c r="X39" s="713"/>
      <c r="Y39" s="713"/>
      <c r="Z39" s="713"/>
      <c r="AA39" s="713"/>
      <c r="AB39" s="713"/>
      <c r="AC39" s="713"/>
      <c r="AD39" s="713"/>
      <c r="AE39" s="713"/>
      <c r="AF39" s="714"/>
    </row>
    <row r="40" spans="2:33" ht="22.95" customHeight="1">
      <c r="B40" s="237"/>
      <c r="C40" s="179"/>
      <c r="D40" s="179"/>
      <c r="E40" s="264"/>
      <c r="F40" s="200"/>
      <c r="G40" s="262"/>
      <c r="H40" s="181"/>
      <c r="I40" s="182"/>
      <c r="J40" s="182"/>
      <c r="K40" s="182"/>
      <c r="L40" s="182"/>
      <c r="M40" s="182"/>
      <c r="N40" s="182"/>
      <c r="O40" s="182"/>
      <c r="P40" s="182"/>
      <c r="Q40" s="238"/>
      <c r="S40" s="712"/>
      <c r="T40" s="713"/>
      <c r="U40" s="713"/>
      <c r="V40" s="713"/>
      <c r="W40" s="713"/>
      <c r="X40" s="713"/>
      <c r="Y40" s="713"/>
      <c r="Z40" s="713"/>
      <c r="AA40" s="713"/>
      <c r="AB40" s="713"/>
      <c r="AC40" s="713"/>
      <c r="AD40" s="713"/>
      <c r="AE40" s="713"/>
      <c r="AF40" s="714"/>
    </row>
    <row r="41" spans="2:33" ht="22.95" customHeight="1">
      <c r="B41" s="237"/>
      <c r="C41" s="179"/>
      <c r="D41" s="179"/>
      <c r="E41" s="264"/>
      <c r="F41" s="200"/>
      <c r="G41" s="262"/>
      <c r="H41" s="181"/>
      <c r="I41" s="182"/>
      <c r="J41" s="182"/>
      <c r="K41" s="182"/>
      <c r="L41" s="182"/>
      <c r="M41" s="182"/>
      <c r="N41" s="182"/>
      <c r="O41" s="182"/>
      <c r="P41" s="182"/>
      <c r="Q41" s="238"/>
      <c r="S41" s="712"/>
      <c r="T41" s="713"/>
      <c r="U41" s="713"/>
      <c r="V41" s="713"/>
      <c r="W41" s="713"/>
      <c r="X41" s="713"/>
      <c r="Y41" s="713"/>
      <c r="Z41" s="713"/>
      <c r="AA41" s="713"/>
      <c r="AB41" s="713"/>
      <c r="AC41" s="713"/>
      <c r="AD41" s="713"/>
      <c r="AE41" s="713"/>
      <c r="AF41" s="714"/>
    </row>
    <row r="42" spans="2:33" ht="22.95" customHeight="1">
      <c r="B42" s="237"/>
      <c r="C42" s="179"/>
      <c r="D42" s="179"/>
      <c r="E42" s="264"/>
      <c r="F42" s="200"/>
      <c r="G42" s="262"/>
      <c r="H42" s="181"/>
      <c r="I42" s="182"/>
      <c r="J42" s="182"/>
      <c r="K42" s="182"/>
      <c r="L42" s="182"/>
      <c r="M42" s="182"/>
      <c r="N42" s="182"/>
      <c r="O42" s="182"/>
      <c r="P42" s="182"/>
      <c r="Q42" s="238"/>
      <c r="S42" s="712"/>
      <c r="T42" s="713"/>
      <c r="U42" s="713"/>
      <c r="V42" s="713"/>
      <c r="W42" s="713"/>
      <c r="X42" s="713"/>
      <c r="Y42" s="713"/>
      <c r="Z42" s="713"/>
      <c r="AA42" s="713"/>
      <c r="AB42" s="713"/>
      <c r="AC42" s="713"/>
      <c r="AD42" s="713"/>
      <c r="AE42" s="713"/>
      <c r="AF42" s="714"/>
    </row>
    <row r="43" spans="2:33" ht="22.95" customHeight="1">
      <c r="B43" s="237"/>
      <c r="C43" s="179"/>
      <c r="D43" s="179"/>
      <c r="E43" s="264"/>
      <c r="F43" s="200"/>
      <c r="G43" s="262"/>
      <c r="H43" s="181"/>
      <c r="I43" s="182"/>
      <c r="J43" s="182"/>
      <c r="K43" s="182"/>
      <c r="L43" s="182"/>
      <c r="M43" s="182"/>
      <c r="N43" s="182"/>
      <c r="O43" s="182"/>
      <c r="P43" s="182"/>
      <c r="Q43" s="238"/>
      <c r="S43" s="712"/>
      <c r="T43" s="713"/>
      <c r="U43" s="713"/>
      <c r="V43" s="713"/>
      <c r="W43" s="713"/>
      <c r="X43" s="713"/>
      <c r="Y43" s="713"/>
      <c r="Z43" s="713"/>
      <c r="AA43" s="713"/>
      <c r="AB43" s="713"/>
      <c r="AC43" s="713"/>
      <c r="AD43" s="713"/>
      <c r="AE43" s="713"/>
      <c r="AF43" s="714"/>
    </row>
    <row r="44" spans="2:33" ht="22.95" customHeight="1">
      <c r="B44" s="237"/>
      <c r="Q44" s="238"/>
      <c r="S44" s="712"/>
      <c r="T44" s="713"/>
      <c r="U44" s="713"/>
      <c r="V44" s="713"/>
      <c r="W44" s="713"/>
      <c r="X44" s="713"/>
      <c r="Y44" s="713"/>
      <c r="Z44" s="713"/>
      <c r="AA44" s="713"/>
      <c r="AB44" s="713"/>
      <c r="AC44" s="713"/>
      <c r="AD44" s="713"/>
      <c r="AE44" s="713"/>
      <c r="AF44" s="714"/>
    </row>
    <row r="45" spans="2:33" ht="22.95" customHeight="1">
      <c r="B45" s="237"/>
      <c r="C45" s="5" t="s">
        <v>221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1"/>
      <c r="Q45" s="238"/>
      <c r="S45" s="712"/>
      <c r="T45" s="713"/>
      <c r="U45" s="713"/>
      <c r="V45" s="713"/>
      <c r="W45" s="713"/>
      <c r="X45" s="713"/>
      <c r="Y45" s="713"/>
      <c r="Z45" s="713"/>
      <c r="AA45" s="713"/>
      <c r="AB45" s="713"/>
      <c r="AC45" s="713"/>
      <c r="AD45" s="713"/>
      <c r="AE45" s="713"/>
      <c r="AF45" s="714"/>
    </row>
    <row r="46" spans="2:33" ht="22.95" customHeight="1">
      <c r="B46" s="237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238"/>
      <c r="S46" s="712"/>
      <c r="T46" s="713"/>
      <c r="U46" s="713"/>
      <c r="V46" s="713"/>
      <c r="W46" s="713"/>
      <c r="X46" s="713"/>
      <c r="Y46" s="713"/>
      <c r="Z46" s="713"/>
      <c r="AA46" s="713"/>
      <c r="AB46" s="713"/>
      <c r="AC46" s="713"/>
      <c r="AD46" s="713"/>
      <c r="AE46" s="713"/>
      <c r="AF46" s="714"/>
    </row>
    <row r="47" spans="2:33" ht="22.95" customHeight="1">
      <c r="B47" s="237"/>
      <c r="C47" s="1156" t="s">
        <v>222</v>
      </c>
      <c r="D47" s="1156"/>
      <c r="E47" s="248"/>
      <c r="F47" s="249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38"/>
      <c r="S47" s="712"/>
      <c r="T47" s="713"/>
      <c r="U47" s="713"/>
      <c r="V47" s="713"/>
      <c r="W47" s="713"/>
      <c r="X47" s="713"/>
      <c r="Y47" s="713"/>
      <c r="Z47" s="713"/>
      <c r="AA47" s="713"/>
      <c r="AB47" s="713"/>
      <c r="AC47" s="713"/>
      <c r="AD47" s="713"/>
      <c r="AE47" s="713"/>
      <c r="AF47" s="714"/>
    </row>
    <row r="48" spans="2:33" ht="22.95" customHeight="1">
      <c r="B48" s="237"/>
      <c r="C48" s="1157" t="s">
        <v>223</v>
      </c>
      <c r="D48" s="1157"/>
      <c r="E48" s="1157"/>
      <c r="F48" s="1157"/>
      <c r="Q48" s="238"/>
      <c r="S48" s="712"/>
      <c r="T48" s="713"/>
      <c r="U48" s="713"/>
      <c r="V48" s="713"/>
      <c r="W48" s="713"/>
      <c r="X48" s="713"/>
      <c r="Y48" s="713"/>
      <c r="Z48" s="713"/>
      <c r="AA48" s="713"/>
      <c r="AB48" s="713"/>
      <c r="AC48" s="713"/>
      <c r="AD48" s="713"/>
      <c r="AE48" s="713"/>
      <c r="AF48" s="714"/>
      <c r="AG48" s="744">
        <f>IF(C48="",1,0)</f>
        <v>0</v>
      </c>
    </row>
    <row r="49" spans="2:32" ht="22.95" customHeight="1">
      <c r="B49" s="237"/>
      <c r="C49" s="31"/>
      <c r="D49" s="31"/>
      <c r="E49" s="31"/>
      <c r="F49" s="31"/>
      <c r="Q49" s="238"/>
      <c r="S49" s="712"/>
      <c r="T49" s="713"/>
      <c r="U49" s="713"/>
      <c r="V49" s="713"/>
      <c r="W49" s="713"/>
      <c r="X49" s="713"/>
      <c r="Y49" s="713"/>
      <c r="Z49" s="713"/>
      <c r="AA49" s="713"/>
      <c r="AB49" s="713"/>
      <c r="AC49" s="713"/>
      <c r="AD49" s="713"/>
      <c r="AE49" s="713"/>
      <c r="AF49" s="714"/>
    </row>
    <row r="50" spans="2:32" ht="22.95" customHeight="1">
      <c r="B50" s="237"/>
      <c r="C50" s="31"/>
      <c r="D50" s="31"/>
      <c r="E50" s="31"/>
      <c r="F50" s="31"/>
      <c r="Q50" s="238"/>
      <c r="S50" s="712"/>
      <c r="T50" s="713"/>
      <c r="U50" s="713"/>
      <c r="V50" s="713"/>
      <c r="W50" s="713"/>
      <c r="X50" s="713"/>
      <c r="Y50" s="713"/>
      <c r="Z50" s="713"/>
      <c r="AA50" s="713"/>
      <c r="AB50" s="713"/>
      <c r="AC50" s="713"/>
      <c r="AD50" s="713"/>
      <c r="AE50" s="713"/>
      <c r="AF50" s="714"/>
    </row>
    <row r="51" spans="2:32" ht="22.95" customHeight="1">
      <c r="B51" s="237"/>
      <c r="C51" s="67" t="s">
        <v>224</v>
      </c>
      <c r="D51" s="31"/>
      <c r="E51" s="31"/>
      <c r="F51" s="31"/>
      <c r="Q51" s="238"/>
      <c r="S51" s="712"/>
      <c r="T51" s="713"/>
      <c r="U51" s="713"/>
      <c r="V51" s="713"/>
      <c r="W51" s="713"/>
      <c r="X51" s="713"/>
      <c r="Y51" s="713"/>
      <c r="Z51" s="713"/>
      <c r="AA51" s="713"/>
      <c r="AB51" s="713"/>
      <c r="AC51" s="713"/>
      <c r="AD51" s="713"/>
      <c r="AE51" s="713"/>
      <c r="AF51" s="714"/>
    </row>
    <row r="52" spans="2:32" ht="22.95" customHeight="1">
      <c r="B52" s="237"/>
      <c r="C52" s="232"/>
      <c r="D52" s="31"/>
      <c r="E52" s="31"/>
      <c r="F52" s="31"/>
      <c r="Q52" s="238"/>
      <c r="S52" s="712"/>
      <c r="T52" s="713"/>
      <c r="U52" s="713"/>
      <c r="V52" s="713"/>
      <c r="W52" s="713"/>
      <c r="X52" s="713"/>
      <c r="Y52" s="713"/>
      <c r="Z52" s="713"/>
      <c r="AA52" s="713"/>
      <c r="AB52" s="713"/>
      <c r="AC52" s="713"/>
      <c r="AD52" s="713"/>
      <c r="AE52" s="713"/>
      <c r="AF52" s="714"/>
    </row>
    <row r="53" spans="2:32" ht="22.95" customHeight="1">
      <c r="B53" s="237"/>
      <c r="C53" s="257" t="s">
        <v>225</v>
      </c>
      <c r="D53" s="31"/>
      <c r="E53" s="31"/>
      <c r="F53" s="31"/>
      <c r="Q53" s="238"/>
      <c r="S53" s="712"/>
      <c r="T53" s="713"/>
      <c r="U53" s="713"/>
      <c r="V53" s="713"/>
      <c r="W53" s="713"/>
      <c r="X53" s="713"/>
      <c r="Y53" s="713"/>
      <c r="Z53" s="713"/>
      <c r="AA53" s="713"/>
      <c r="AB53" s="713"/>
      <c r="AC53" s="713"/>
      <c r="AD53" s="713"/>
      <c r="AE53" s="713"/>
      <c r="AF53" s="714"/>
    </row>
    <row r="54" spans="2:32" ht="22.95" customHeight="1">
      <c r="B54" s="237"/>
      <c r="C54" s="257" t="s">
        <v>226</v>
      </c>
      <c r="D54" s="31"/>
      <c r="E54" s="31"/>
      <c r="F54" s="31"/>
      <c r="Q54" s="238"/>
      <c r="S54" s="712"/>
      <c r="T54" s="713"/>
      <c r="U54" s="713"/>
      <c r="V54" s="713"/>
      <c r="W54" s="713"/>
      <c r="X54" s="713"/>
      <c r="Y54" s="713"/>
      <c r="Z54" s="713"/>
      <c r="AA54" s="713"/>
      <c r="AB54" s="713"/>
      <c r="AC54" s="713"/>
      <c r="AD54" s="713"/>
      <c r="AE54" s="713"/>
      <c r="AF54" s="714"/>
    </row>
    <row r="55" spans="2:32" ht="22.95" customHeight="1" thickBot="1">
      <c r="B55" s="258"/>
      <c r="C55" s="1154"/>
      <c r="D55" s="1154"/>
      <c r="E55" s="1154"/>
      <c r="F55" s="1154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60"/>
      <c r="S55" s="715"/>
      <c r="T55" s="716"/>
      <c r="U55" s="716"/>
      <c r="V55" s="716"/>
      <c r="W55" s="716"/>
      <c r="X55" s="716"/>
      <c r="Y55" s="716"/>
      <c r="Z55" s="716"/>
      <c r="AA55" s="716"/>
      <c r="AB55" s="716"/>
      <c r="AC55" s="716"/>
      <c r="AD55" s="716"/>
      <c r="AE55" s="716"/>
      <c r="AF55" s="717"/>
    </row>
    <row r="56" spans="2:32" ht="22.95" customHeight="1">
      <c r="R56" s="23" t="s">
        <v>179</v>
      </c>
    </row>
    <row r="57" spans="2:32" ht="13.2">
      <c r="C57" s="19" t="s">
        <v>52</v>
      </c>
      <c r="P57" s="22" t="s">
        <v>227</v>
      </c>
    </row>
    <row r="58" spans="2:32" ht="13.2">
      <c r="C58" s="19" t="s">
        <v>54</v>
      </c>
    </row>
    <row r="59" spans="2:32" ht="13.2">
      <c r="C59" s="19" t="s">
        <v>55</v>
      </c>
    </row>
    <row r="60" spans="2:32" ht="13.2">
      <c r="C60" s="19" t="s">
        <v>56</v>
      </c>
    </row>
    <row r="61" spans="2:32" ht="13.2">
      <c r="C61" s="19" t="s">
        <v>57</v>
      </c>
    </row>
  </sheetData>
  <sheetProtection algorithmName="SHA-512" hashValue="IYILmvzJjHxhQrAl3+ZseCEczH1IehvqFaSHu50DXcxVGmTQxutld7HtjExHGLDgek4+CQ2yuqA6Z+BOuwdyPA==" saltValue="nst0owBQFNMx/U8KOMNO7g==" spinCount="100000" sheet="1" insertRows="0"/>
  <mergeCells count="9">
    <mergeCell ref="P6:P7"/>
    <mergeCell ref="C55:F55"/>
    <mergeCell ref="D9:O9"/>
    <mergeCell ref="C47:D47"/>
    <mergeCell ref="C48:F48"/>
    <mergeCell ref="L15:N15"/>
    <mergeCell ref="F15:H15"/>
    <mergeCell ref="L31:N31"/>
    <mergeCell ref="F31:H31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1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2:X94"/>
  <sheetViews>
    <sheetView topLeftCell="D77" zoomScale="110" zoomScaleNormal="110" zoomScalePageLayoutView="50" workbookViewId="0">
      <selection activeCell="H76" sqref="H76"/>
    </sheetView>
  </sheetViews>
  <sheetFormatPr baseColWidth="10" defaultColWidth="10.54296875" defaultRowHeight="22.95" customHeight="1"/>
  <cols>
    <col min="1" max="1" width="4.1796875" style="23" bestFit="1" customWidth="1"/>
    <col min="2" max="2" width="3.1796875" style="23" customWidth="1"/>
    <col min="3" max="3" width="13.54296875" style="23" customWidth="1"/>
    <col min="4" max="4" width="76.54296875" style="23" customWidth="1"/>
    <col min="5" max="8" width="18.453125" style="23" customWidth="1"/>
    <col min="9" max="9" width="3.453125" style="23" customWidth="1"/>
    <col min="10" max="16384" width="10.54296875" style="23"/>
  </cols>
  <sheetData>
    <row r="2" spans="1:24" ht="22.95" customHeight="1">
      <c r="D2" s="318" t="str">
        <f>_GENERAL!D2</f>
        <v>Área de la Presidenta: Igualdad y Diversidad, Hacienda y Proyectos Estratégicos</v>
      </c>
    </row>
    <row r="3" spans="1:24" ht="22.95" customHeight="1">
      <c r="D3" s="318" t="str">
        <f>_GENERAL!D3</f>
        <v>Dirección Insular de Hacienda</v>
      </c>
    </row>
    <row r="4" spans="1:24" ht="22.95" customHeight="1" thickBot="1">
      <c r="A4" s="23" t="s">
        <v>129</v>
      </c>
    </row>
    <row r="5" spans="1:24" ht="9" customHeight="1">
      <c r="B5" s="234"/>
      <c r="C5" s="235"/>
      <c r="D5" s="235"/>
      <c r="E5" s="235"/>
      <c r="F5" s="235"/>
      <c r="G5" s="235"/>
      <c r="H5" s="235"/>
      <c r="I5" s="236"/>
      <c r="K5" s="700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2"/>
    </row>
    <row r="6" spans="1:24" ht="30" customHeight="1">
      <c r="B6" s="237"/>
      <c r="C6" s="1" t="s">
        <v>2</v>
      </c>
      <c r="H6" s="1138">
        <f>ejercicio</f>
        <v>2025</v>
      </c>
      <c r="I6" s="238"/>
      <c r="K6" s="163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6"/>
    </row>
    <row r="7" spans="1:24" ht="30" customHeight="1">
      <c r="B7" s="237"/>
      <c r="C7" s="1" t="s">
        <v>3</v>
      </c>
      <c r="H7" s="1138"/>
      <c r="I7" s="238"/>
      <c r="K7" s="167"/>
      <c r="L7" s="164" t="s">
        <v>130</v>
      </c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9"/>
    </row>
    <row r="8" spans="1:24" ht="30" customHeight="1">
      <c r="B8" s="237"/>
      <c r="C8" s="240"/>
      <c r="H8" s="211"/>
      <c r="I8" s="238"/>
      <c r="K8" s="703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5"/>
    </row>
    <row r="9" spans="1:24" s="241" customFormat="1" ht="30" customHeight="1">
      <c r="A9" s="339"/>
      <c r="B9" s="915"/>
      <c r="C9" s="20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916"/>
      <c r="J9" s="339"/>
      <c r="K9" s="706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08"/>
    </row>
    <row r="10" spans="1:24" ht="7.2" customHeight="1">
      <c r="B10" s="237"/>
      <c r="I10" s="238"/>
      <c r="K10" s="706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08"/>
    </row>
    <row r="11" spans="1:24" s="27" customFormat="1" ht="30" customHeight="1">
      <c r="B11" s="10"/>
      <c r="C11" s="4" t="s">
        <v>228</v>
      </c>
      <c r="D11" s="4"/>
      <c r="E11" s="4"/>
      <c r="F11" s="4"/>
      <c r="G11" s="4"/>
      <c r="H11" s="4"/>
      <c r="I11" s="242"/>
      <c r="K11" s="706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8"/>
    </row>
    <row r="12" spans="1:24" s="27" customFormat="1" ht="30" customHeight="1">
      <c r="B12" s="10"/>
      <c r="I12" s="242"/>
      <c r="K12" s="706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8"/>
    </row>
    <row r="13" spans="1:24" ht="22.95" customHeight="1">
      <c r="B13" s="237"/>
      <c r="C13" s="526"/>
      <c r="D13" s="527"/>
      <c r="E13" s="747" t="s">
        <v>229</v>
      </c>
      <c r="F13" s="748" t="s">
        <v>230</v>
      </c>
      <c r="G13" s="749" t="s">
        <v>231</v>
      </c>
      <c r="H13" s="750" t="s">
        <v>232</v>
      </c>
      <c r="I13" s="238"/>
      <c r="K13" s="706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8"/>
    </row>
    <row r="14" spans="1:24" ht="22.95" customHeight="1">
      <c r="B14" s="237"/>
      <c r="C14" s="528"/>
      <c r="D14" s="529"/>
      <c r="E14" s="751">
        <f>ejercicio-2</f>
        <v>2023</v>
      </c>
      <c r="F14" s="752">
        <f>ejercicio-1</f>
        <v>2024</v>
      </c>
      <c r="G14" s="753">
        <f>ejercicio-1</f>
        <v>2024</v>
      </c>
      <c r="H14" s="754">
        <f>ejercicio</f>
        <v>2025</v>
      </c>
      <c r="I14" s="238"/>
      <c r="K14" s="706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8"/>
    </row>
    <row r="15" spans="1:24" ht="22.95" customHeight="1">
      <c r="B15" s="237"/>
      <c r="C15" s="504" t="s">
        <v>233</v>
      </c>
      <c r="D15" s="505" t="s">
        <v>234</v>
      </c>
      <c r="E15" s="506"/>
      <c r="F15" s="506"/>
      <c r="G15" s="506"/>
      <c r="H15" s="506"/>
      <c r="I15" s="238"/>
      <c r="K15" s="706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8"/>
    </row>
    <row r="16" spans="1:24" ht="22.95" customHeight="1">
      <c r="B16" s="237"/>
      <c r="C16" s="507" t="s">
        <v>235</v>
      </c>
      <c r="D16" s="508" t="s">
        <v>236</v>
      </c>
      <c r="E16" s="509">
        <f>SUM(E17:E21)</f>
        <v>685087.7699999999</v>
      </c>
      <c r="F16" s="509">
        <f>SUM(F17:F21)</f>
        <v>705653.64</v>
      </c>
      <c r="G16" s="509">
        <f>SUM(G17:G21)</f>
        <v>621237.5</v>
      </c>
      <c r="H16" s="509">
        <f>SUM(H17:H21)</f>
        <v>805183.15999999992</v>
      </c>
      <c r="I16" s="238"/>
      <c r="K16" s="706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8"/>
    </row>
    <row r="17" spans="2:24" ht="22.95" customHeight="1">
      <c r="B17" s="237"/>
      <c r="C17" s="510" t="s">
        <v>237</v>
      </c>
      <c r="D17" s="511" t="s">
        <v>238</v>
      </c>
      <c r="E17" s="512">
        <v>1960</v>
      </c>
      <c r="F17" s="512">
        <v>1660</v>
      </c>
      <c r="G17" s="512">
        <v>1780</v>
      </c>
      <c r="H17" s="512">
        <v>1780</v>
      </c>
      <c r="I17" s="238"/>
      <c r="K17" s="706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8"/>
    </row>
    <row r="18" spans="2:24" ht="22.95" customHeight="1">
      <c r="B18" s="237"/>
      <c r="C18" s="513" t="s">
        <v>239</v>
      </c>
      <c r="D18" s="514" t="s">
        <v>240</v>
      </c>
      <c r="E18" s="515">
        <v>0</v>
      </c>
      <c r="F18" s="515">
        <v>0</v>
      </c>
      <c r="G18" s="515">
        <v>0</v>
      </c>
      <c r="H18" s="515">
        <v>0</v>
      </c>
      <c r="I18" s="238"/>
      <c r="K18" s="706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8"/>
    </row>
    <row r="19" spans="2:24" ht="22.95" customHeight="1">
      <c r="B19" s="237"/>
      <c r="C19" s="513" t="s">
        <v>241</v>
      </c>
      <c r="D19" s="514" t="s">
        <v>242</v>
      </c>
      <c r="E19" s="515">
        <v>43768.83</v>
      </c>
      <c r="F19" s="515">
        <v>43978.83</v>
      </c>
      <c r="G19" s="515">
        <v>43127.83</v>
      </c>
      <c r="H19" s="515">
        <v>40868.83</v>
      </c>
      <c r="I19" s="238"/>
      <c r="K19" s="706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8"/>
    </row>
    <row r="20" spans="2:24" ht="22.95" customHeight="1">
      <c r="B20" s="237"/>
      <c r="C20" s="513" t="s">
        <v>243</v>
      </c>
      <c r="D20" s="516" t="s">
        <v>244</v>
      </c>
      <c r="E20" s="517">
        <v>639358.93999999994</v>
      </c>
      <c r="F20" s="517">
        <v>660014.81000000006</v>
      </c>
      <c r="G20" s="517">
        <f>576004.67+325</f>
        <v>576329.67000000004</v>
      </c>
      <c r="H20" s="517">
        <v>762534.33</v>
      </c>
      <c r="I20" s="238"/>
      <c r="K20" s="706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8"/>
    </row>
    <row r="21" spans="2:24" ht="22.95" customHeight="1">
      <c r="B21" s="237"/>
      <c r="C21" s="513" t="s">
        <v>245</v>
      </c>
      <c r="D21" s="516" t="s">
        <v>246</v>
      </c>
      <c r="E21" s="517">
        <v>0</v>
      </c>
      <c r="F21" s="517">
        <v>0</v>
      </c>
      <c r="G21" s="517">
        <v>0</v>
      </c>
      <c r="H21" s="517">
        <v>0</v>
      </c>
      <c r="I21" s="238"/>
      <c r="K21" s="706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8"/>
    </row>
    <row r="22" spans="2:24" ht="22.95" customHeight="1">
      <c r="B22" s="237"/>
      <c r="C22" s="507" t="s">
        <v>247</v>
      </c>
      <c r="D22" s="508" t="s">
        <v>248</v>
      </c>
      <c r="E22" s="183">
        <v>508369.06</v>
      </c>
      <c r="F22" s="183">
        <v>400000</v>
      </c>
      <c r="G22" s="183">
        <v>478070.85</v>
      </c>
      <c r="H22" s="183">
        <v>482700</v>
      </c>
      <c r="I22" s="238"/>
      <c r="K22" s="1136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8"/>
    </row>
    <row r="23" spans="2:24" ht="22.95" customHeight="1">
      <c r="B23" s="237"/>
      <c r="C23" s="507" t="s">
        <v>249</v>
      </c>
      <c r="D23" s="508" t="s">
        <v>250</v>
      </c>
      <c r="E23" s="509">
        <f>SUM(E24:E27)</f>
        <v>0</v>
      </c>
      <c r="F23" s="509">
        <f>SUM(F24:F27)</f>
        <v>0</v>
      </c>
      <c r="G23" s="509">
        <f>SUM(G24:G27)</f>
        <v>0</v>
      </c>
      <c r="H23" s="509">
        <f>SUM(H24:H27)</f>
        <v>0</v>
      </c>
      <c r="I23" s="238"/>
      <c r="K23" s="706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8"/>
    </row>
    <row r="24" spans="2:24" ht="22.95" customHeight="1">
      <c r="B24" s="237"/>
      <c r="C24" s="510" t="s">
        <v>237</v>
      </c>
      <c r="D24" s="511" t="s">
        <v>251</v>
      </c>
      <c r="E24" s="512">
        <v>0</v>
      </c>
      <c r="F24" s="512">
        <v>0</v>
      </c>
      <c r="G24" s="512">
        <v>0</v>
      </c>
      <c r="H24" s="512">
        <v>0</v>
      </c>
      <c r="I24" s="238"/>
      <c r="K24" s="706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8"/>
    </row>
    <row r="25" spans="2:24" ht="22.95" customHeight="1">
      <c r="B25" s="237"/>
      <c r="C25" s="513" t="s">
        <v>239</v>
      </c>
      <c r="D25" s="516" t="s">
        <v>252</v>
      </c>
      <c r="E25" s="517">
        <v>0</v>
      </c>
      <c r="F25" s="517">
        <v>0</v>
      </c>
      <c r="G25" s="517">
        <v>0</v>
      </c>
      <c r="H25" s="517">
        <v>0</v>
      </c>
      <c r="I25" s="238"/>
      <c r="K25" s="706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8"/>
    </row>
    <row r="26" spans="2:24" ht="22.95" customHeight="1">
      <c r="B26" s="237"/>
      <c r="C26" s="513" t="s">
        <v>241</v>
      </c>
      <c r="D26" s="516" t="s">
        <v>253</v>
      </c>
      <c r="E26" s="517">
        <v>0</v>
      </c>
      <c r="F26" s="517">
        <v>0</v>
      </c>
      <c r="G26" s="517">
        <v>0</v>
      </c>
      <c r="H26" s="517">
        <v>0</v>
      </c>
      <c r="I26" s="238"/>
      <c r="K26" s="706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8"/>
    </row>
    <row r="27" spans="2:24" ht="22.95" customHeight="1">
      <c r="B27" s="237"/>
      <c r="C27" s="513" t="s">
        <v>243</v>
      </c>
      <c r="D27" s="516" t="s">
        <v>254</v>
      </c>
      <c r="E27" s="517">
        <v>0</v>
      </c>
      <c r="F27" s="517">
        <v>0</v>
      </c>
      <c r="G27" s="517">
        <v>0</v>
      </c>
      <c r="H27" s="517">
        <v>0</v>
      </c>
      <c r="I27" s="238"/>
      <c r="K27" s="706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8"/>
    </row>
    <row r="28" spans="2:24" ht="22.95" customHeight="1">
      <c r="B28" s="237"/>
      <c r="C28" s="507" t="s">
        <v>255</v>
      </c>
      <c r="D28" s="508" t="s">
        <v>256</v>
      </c>
      <c r="E28" s="183">
        <v>0</v>
      </c>
      <c r="F28" s="183">
        <v>0</v>
      </c>
      <c r="G28" s="183">
        <v>0</v>
      </c>
      <c r="H28" s="183">
        <v>0</v>
      </c>
      <c r="I28" s="238"/>
      <c r="K28" s="706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8"/>
    </row>
    <row r="29" spans="2:24" ht="22.95" customHeight="1">
      <c r="B29" s="237"/>
      <c r="C29" s="507" t="s">
        <v>257</v>
      </c>
      <c r="D29" s="508" t="s">
        <v>258</v>
      </c>
      <c r="E29" s="183">
        <v>0</v>
      </c>
      <c r="F29" s="183">
        <v>0</v>
      </c>
      <c r="G29" s="183">
        <v>0</v>
      </c>
      <c r="H29" s="183">
        <v>0</v>
      </c>
      <c r="I29" s="238"/>
      <c r="K29" s="706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8"/>
    </row>
    <row r="30" spans="2:24" ht="22.95" customHeight="1">
      <c r="B30" s="237"/>
      <c r="C30" s="507" t="s">
        <v>259</v>
      </c>
      <c r="D30" s="508" t="s">
        <v>260</v>
      </c>
      <c r="E30" s="183">
        <v>-341658.79</v>
      </c>
      <c r="F30" s="183">
        <v>-256000</v>
      </c>
      <c r="G30" s="183">
        <v>-311524.31</v>
      </c>
      <c r="H30" s="183">
        <v>-320896.55</v>
      </c>
      <c r="I30" s="238"/>
      <c r="K30" s="709"/>
      <c r="L30" s="710"/>
      <c r="M30" s="710"/>
      <c r="N30" s="710"/>
      <c r="O30" s="710"/>
      <c r="P30" s="710"/>
      <c r="Q30" s="710"/>
      <c r="R30" s="710"/>
      <c r="S30" s="710"/>
      <c r="T30" s="710"/>
      <c r="U30" s="710"/>
      <c r="V30" s="710"/>
      <c r="W30" s="710"/>
      <c r="X30" s="711"/>
    </row>
    <row r="31" spans="2:24" ht="22.95" customHeight="1">
      <c r="B31" s="237"/>
      <c r="C31" s="507" t="s">
        <v>261</v>
      </c>
      <c r="D31" s="508" t="s">
        <v>262</v>
      </c>
      <c r="E31" s="183">
        <v>44984.56</v>
      </c>
      <c r="F31" s="183">
        <v>41100</v>
      </c>
      <c r="G31" s="183">
        <v>48401.58</v>
      </c>
      <c r="H31" s="183">
        <v>54950</v>
      </c>
      <c r="I31" s="238"/>
      <c r="K31" s="709"/>
      <c r="L31" s="710"/>
      <c r="M31" s="710"/>
      <c r="N31" s="710"/>
      <c r="O31" s="710"/>
      <c r="P31" s="710"/>
      <c r="Q31" s="710"/>
      <c r="R31" s="710"/>
      <c r="S31" s="710"/>
      <c r="T31" s="710"/>
      <c r="U31" s="710"/>
      <c r="V31" s="710"/>
      <c r="W31" s="710"/>
      <c r="X31" s="711"/>
    </row>
    <row r="32" spans="2:24" ht="22.95" customHeight="1">
      <c r="B32" s="237"/>
      <c r="C32" s="507" t="s">
        <v>263</v>
      </c>
      <c r="D32" s="508" t="s">
        <v>264</v>
      </c>
      <c r="E32" s="509">
        <f>SUM(E33:E34)</f>
        <v>-385993.82</v>
      </c>
      <c r="F32" s="509">
        <f t="shared" ref="F32:H32" si="0">SUM(F33:F34)</f>
        <v>-428886.09</v>
      </c>
      <c r="G32" s="509">
        <f t="shared" si="0"/>
        <v>-402392.02</v>
      </c>
      <c r="H32" s="509">
        <f t="shared" si="0"/>
        <v>-604219.26</v>
      </c>
      <c r="I32" s="238"/>
      <c r="K32" s="706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8"/>
    </row>
    <row r="33" spans="2:24" ht="22.95" customHeight="1">
      <c r="B33" s="237"/>
      <c r="C33" s="510" t="s">
        <v>237</v>
      </c>
      <c r="D33" s="511" t="s">
        <v>265</v>
      </c>
      <c r="E33" s="517">
        <v>-385993.82</v>
      </c>
      <c r="F33" s="517">
        <v>-428886.09</v>
      </c>
      <c r="G33" s="517">
        <f>-315887.2-88106.48+1601.66</f>
        <v>-402392.02</v>
      </c>
      <c r="H33" s="517">
        <f>-334467.71-112217.22</f>
        <v>-446684.93000000005</v>
      </c>
      <c r="I33" s="238"/>
      <c r="K33" s="706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8"/>
    </row>
    <row r="34" spans="2:24" ht="22.95" customHeight="1">
      <c r="B34" s="237"/>
      <c r="C34" s="513" t="s">
        <v>239</v>
      </c>
      <c r="D34" s="516" t="s">
        <v>266</v>
      </c>
      <c r="E34" s="517">
        <v>0</v>
      </c>
      <c r="F34" s="517">
        <v>0</v>
      </c>
      <c r="G34" s="517"/>
      <c r="H34" s="517">
        <v>-157534.32999999999</v>
      </c>
      <c r="I34" s="238"/>
      <c r="K34" s="706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8"/>
    </row>
    <row r="35" spans="2:24" ht="22.95" customHeight="1">
      <c r="B35" s="237"/>
      <c r="C35" s="507" t="s">
        <v>267</v>
      </c>
      <c r="D35" s="508" t="s">
        <v>268</v>
      </c>
      <c r="E35" s="509">
        <f>SUM(E36:E39)</f>
        <v>-451172.53</v>
      </c>
      <c r="F35" s="509">
        <f>SUM(F36:F39)</f>
        <v>-450261.94</v>
      </c>
      <c r="G35" s="509">
        <f t="shared" ref="G35:H35" si="1">SUM(G36:G39)</f>
        <v>-390801.93</v>
      </c>
      <c r="H35" s="509">
        <f t="shared" si="1"/>
        <v>-404495.82999999996</v>
      </c>
      <c r="I35" s="238"/>
      <c r="K35" s="706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8"/>
    </row>
    <row r="36" spans="2:24" ht="22.95" customHeight="1">
      <c r="B36" s="237"/>
      <c r="C36" s="510" t="s">
        <v>237</v>
      </c>
      <c r="D36" s="516" t="s">
        <v>269</v>
      </c>
      <c r="E36" s="625">
        <v>-449816.07</v>
      </c>
      <c r="F36" s="625">
        <v>-449211.94</v>
      </c>
      <c r="G36" s="625">
        <v>-389214.63</v>
      </c>
      <c r="H36" s="625">
        <v>-402914.29</v>
      </c>
      <c r="I36" s="238"/>
      <c r="K36" s="706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8"/>
    </row>
    <row r="37" spans="2:24" ht="22.95" customHeight="1">
      <c r="B37" s="237"/>
      <c r="C37" s="513" t="s">
        <v>239</v>
      </c>
      <c r="D37" s="516" t="s">
        <v>270</v>
      </c>
      <c r="E37" s="515">
        <v>-1356.46</v>
      </c>
      <c r="F37" s="515">
        <v>-1050</v>
      </c>
      <c r="G37" s="515">
        <v>-1581.54</v>
      </c>
      <c r="H37" s="515">
        <v>-1581.54</v>
      </c>
      <c r="I37" s="238"/>
      <c r="K37" s="706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8"/>
    </row>
    <row r="38" spans="2:24" ht="22.95" customHeight="1">
      <c r="B38" s="237"/>
      <c r="C38" s="513" t="s">
        <v>241</v>
      </c>
      <c r="D38" s="516" t="s">
        <v>271</v>
      </c>
      <c r="E38" s="515">
        <v>0</v>
      </c>
      <c r="F38" s="515">
        <v>0</v>
      </c>
      <c r="G38" s="515">
        <v>0</v>
      </c>
      <c r="H38" s="515">
        <v>0</v>
      </c>
      <c r="I38" s="238"/>
      <c r="K38" s="706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8"/>
    </row>
    <row r="39" spans="2:24" ht="22.95" customHeight="1">
      <c r="B39" s="237"/>
      <c r="C39" s="623" t="s">
        <v>243</v>
      </c>
      <c r="D39" s="622" t="s">
        <v>272</v>
      </c>
      <c r="E39" s="624">
        <v>0</v>
      </c>
      <c r="F39" s="624">
        <v>0</v>
      </c>
      <c r="G39" s="624">
        <v>-5.76</v>
      </c>
      <c r="H39" s="624">
        <v>0</v>
      </c>
      <c r="I39" s="238"/>
      <c r="K39" s="706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8"/>
    </row>
    <row r="40" spans="2:24" ht="22.95" customHeight="1">
      <c r="B40" s="237"/>
      <c r="C40" s="507" t="s">
        <v>273</v>
      </c>
      <c r="D40" s="508" t="s">
        <v>274</v>
      </c>
      <c r="E40" s="183">
        <v>-15944.41</v>
      </c>
      <c r="F40" s="183">
        <v>-17875</v>
      </c>
      <c r="G40" s="183">
        <v>-17572.900000000001</v>
      </c>
      <c r="H40" s="183">
        <v>-17420.98</v>
      </c>
      <c r="I40" s="238"/>
      <c r="K40" s="706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08"/>
    </row>
    <row r="41" spans="2:24" ht="22.95" customHeight="1">
      <c r="B41" s="237"/>
      <c r="C41" s="507" t="s">
        <v>275</v>
      </c>
      <c r="D41" s="508" t="s">
        <v>276</v>
      </c>
      <c r="E41" s="183">
        <v>7269.38</v>
      </c>
      <c r="F41" s="183">
        <v>6256.39</v>
      </c>
      <c r="G41" s="183">
        <v>5966.41</v>
      </c>
      <c r="H41" s="183">
        <v>4199.46</v>
      </c>
      <c r="I41" s="238"/>
      <c r="K41" s="706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8"/>
    </row>
    <row r="42" spans="2:24" ht="22.95" customHeight="1">
      <c r="B42" s="237"/>
      <c r="C42" s="507" t="s">
        <v>277</v>
      </c>
      <c r="D42" s="508" t="s">
        <v>278</v>
      </c>
      <c r="E42" s="183">
        <v>0</v>
      </c>
      <c r="F42" s="183">
        <v>0</v>
      </c>
      <c r="G42" s="183">
        <v>0</v>
      </c>
      <c r="H42" s="183">
        <v>0</v>
      </c>
      <c r="I42" s="238"/>
      <c r="K42" s="712"/>
      <c r="L42" s="713"/>
      <c r="M42" s="713"/>
      <c r="N42" s="713"/>
      <c r="O42" s="713"/>
      <c r="P42" s="713"/>
      <c r="Q42" s="713"/>
      <c r="R42" s="713"/>
      <c r="S42" s="713"/>
      <c r="T42" s="713"/>
      <c r="U42" s="713"/>
      <c r="V42" s="713"/>
      <c r="W42" s="713"/>
      <c r="X42" s="714"/>
    </row>
    <row r="43" spans="2:24" ht="22.95" customHeight="1">
      <c r="B43" s="237"/>
      <c r="C43" s="507" t="s">
        <v>279</v>
      </c>
      <c r="D43" s="508" t="s">
        <v>280</v>
      </c>
      <c r="E43" s="183">
        <v>-125.73</v>
      </c>
      <c r="F43" s="183">
        <v>0</v>
      </c>
      <c r="G43" s="183">
        <v>0</v>
      </c>
      <c r="H43" s="183">
        <v>0</v>
      </c>
      <c r="I43" s="238"/>
      <c r="K43" s="712"/>
      <c r="L43" s="713"/>
      <c r="M43" s="713"/>
      <c r="N43" s="713"/>
      <c r="O43" s="713"/>
      <c r="P43" s="713"/>
      <c r="Q43" s="713"/>
      <c r="R43" s="713"/>
      <c r="S43" s="713"/>
      <c r="T43" s="713"/>
      <c r="U43" s="713"/>
      <c r="V43" s="713"/>
      <c r="W43" s="713"/>
      <c r="X43" s="714"/>
    </row>
    <row r="44" spans="2:24" ht="22.95" customHeight="1">
      <c r="B44" s="237"/>
      <c r="C44" s="507" t="s">
        <v>281</v>
      </c>
      <c r="D44" s="508" t="s">
        <v>282</v>
      </c>
      <c r="E44" s="183">
        <v>3.13</v>
      </c>
      <c r="F44" s="183">
        <v>0</v>
      </c>
      <c r="G44" s="183">
        <v>0</v>
      </c>
      <c r="H44" s="183">
        <v>0</v>
      </c>
      <c r="I44" s="238"/>
      <c r="K44" s="712"/>
      <c r="L44" s="713"/>
      <c r="M44" s="713"/>
      <c r="N44" s="713"/>
      <c r="O44" s="713"/>
      <c r="P44" s="713"/>
      <c r="Q44" s="713"/>
      <c r="R44" s="713"/>
      <c r="S44" s="713"/>
      <c r="T44" s="713"/>
      <c r="U44" s="713"/>
      <c r="V44" s="713"/>
      <c r="W44" s="713"/>
      <c r="X44" s="714"/>
    </row>
    <row r="45" spans="2:24" ht="22.95" customHeight="1" thickBot="1">
      <c r="B45" s="237"/>
      <c r="C45" s="518" t="s">
        <v>283</v>
      </c>
      <c r="D45" s="519" t="s">
        <v>284</v>
      </c>
      <c r="E45" s="520">
        <f>E16+E22+E23+SUM(E28:E32)+E35+SUM(E40:E44)</f>
        <v>50818.61999999977</v>
      </c>
      <c r="F45" s="520">
        <f t="shared" ref="F45:H45" si="2">F16+F22+F23+SUM(F28:F32)+F35+SUM(F40:F44)</f>
        <v>-12.999999999956344</v>
      </c>
      <c r="G45" s="520">
        <f t="shared" si="2"/>
        <v>31385.180000000099</v>
      </c>
      <c r="H45" s="520">
        <f t="shared" si="2"/>
        <v>-9.822542779147625E-11</v>
      </c>
      <c r="I45" s="238"/>
      <c r="K45" s="712"/>
      <c r="L45" s="713"/>
      <c r="M45" s="713"/>
      <c r="N45" s="713"/>
      <c r="O45" s="713"/>
      <c r="P45" s="713"/>
      <c r="Q45" s="713"/>
      <c r="R45" s="713"/>
      <c r="S45" s="713"/>
      <c r="T45" s="713"/>
      <c r="U45" s="713"/>
      <c r="V45" s="713"/>
      <c r="W45" s="713"/>
      <c r="X45" s="714"/>
    </row>
    <row r="46" spans="2:24" ht="22.95" customHeight="1">
      <c r="B46" s="237"/>
      <c r="C46" s="521"/>
      <c r="D46" s="1"/>
      <c r="E46" s="506"/>
      <c r="F46" s="506"/>
      <c r="G46" s="506"/>
      <c r="H46" s="506"/>
      <c r="I46" s="238"/>
      <c r="K46" s="718"/>
      <c r="L46" s="719"/>
      <c r="M46" s="719"/>
      <c r="N46" s="719"/>
      <c r="O46" s="719"/>
      <c r="P46" s="719"/>
      <c r="Q46" s="719"/>
      <c r="R46" s="719"/>
      <c r="S46" s="719"/>
      <c r="T46" s="719"/>
      <c r="U46" s="719"/>
      <c r="V46" s="719"/>
      <c r="W46" s="719"/>
      <c r="X46" s="720"/>
    </row>
    <row r="47" spans="2:24" ht="22.95" customHeight="1">
      <c r="B47" s="237"/>
      <c r="C47" s="507" t="s">
        <v>285</v>
      </c>
      <c r="D47" s="508" t="s">
        <v>286</v>
      </c>
      <c r="E47" s="509">
        <f>E48+E49</f>
        <v>13.61</v>
      </c>
      <c r="F47" s="509">
        <f>F48+F49</f>
        <v>13</v>
      </c>
      <c r="G47" s="509">
        <f t="shared" ref="G47:H47" si="3">G48+G49</f>
        <v>12.71</v>
      </c>
      <c r="H47" s="509">
        <f t="shared" si="3"/>
        <v>0</v>
      </c>
      <c r="I47" s="238"/>
      <c r="K47" s="718"/>
      <c r="L47" s="719"/>
      <c r="M47" s="719"/>
      <c r="N47" s="719"/>
      <c r="O47" s="719"/>
      <c r="P47" s="719"/>
      <c r="Q47" s="719"/>
      <c r="R47" s="719"/>
      <c r="S47" s="719"/>
      <c r="T47" s="719"/>
      <c r="U47" s="719"/>
      <c r="V47" s="719"/>
      <c r="W47" s="719"/>
      <c r="X47" s="720"/>
    </row>
    <row r="48" spans="2:24" ht="22.95" customHeight="1">
      <c r="B48" s="237"/>
      <c r="C48" s="513" t="s">
        <v>237</v>
      </c>
      <c r="D48" s="516" t="s">
        <v>287</v>
      </c>
      <c r="E48" s="512">
        <v>0</v>
      </c>
      <c r="F48" s="512">
        <v>0</v>
      </c>
      <c r="G48" s="512">
        <v>0</v>
      </c>
      <c r="H48" s="512">
        <v>0</v>
      </c>
      <c r="I48" s="238"/>
      <c r="K48" s="712"/>
      <c r="L48" s="713"/>
      <c r="M48" s="713"/>
      <c r="N48" s="713"/>
      <c r="O48" s="713"/>
      <c r="P48" s="713"/>
      <c r="Q48" s="713"/>
      <c r="R48" s="713"/>
      <c r="S48" s="713"/>
      <c r="T48" s="713"/>
      <c r="U48" s="713"/>
      <c r="V48" s="713"/>
      <c r="W48" s="713"/>
      <c r="X48" s="714"/>
    </row>
    <row r="49" spans="2:24" ht="22.95" customHeight="1">
      <c r="B49" s="237"/>
      <c r="C49" s="623" t="s">
        <v>239</v>
      </c>
      <c r="D49" s="622" t="s">
        <v>288</v>
      </c>
      <c r="E49" s="624">
        <v>13.61</v>
      </c>
      <c r="F49" s="624">
        <v>13</v>
      </c>
      <c r="G49" s="624">
        <v>12.71</v>
      </c>
      <c r="H49" s="624">
        <v>0</v>
      </c>
      <c r="I49" s="238"/>
      <c r="K49" s="712"/>
      <c r="L49" s="713"/>
      <c r="M49" s="713"/>
      <c r="N49" s="713"/>
      <c r="O49" s="713"/>
      <c r="P49" s="713"/>
      <c r="Q49" s="713"/>
      <c r="R49" s="713"/>
      <c r="S49" s="713"/>
      <c r="T49" s="713"/>
      <c r="U49" s="713"/>
      <c r="V49" s="713"/>
      <c r="W49" s="713"/>
      <c r="X49" s="714"/>
    </row>
    <row r="50" spans="2:24" ht="22.95" customHeight="1">
      <c r="B50" s="237"/>
      <c r="C50" s="507" t="s">
        <v>289</v>
      </c>
      <c r="D50" s="508" t="s">
        <v>290</v>
      </c>
      <c r="E50" s="509">
        <f>E51+E52+E53</f>
        <v>0</v>
      </c>
      <c r="F50" s="509">
        <f>F51+F52+F53</f>
        <v>0</v>
      </c>
      <c r="G50" s="509">
        <f t="shared" ref="G50:H50" si="4">G51+G52+G53</f>
        <v>-15.7</v>
      </c>
      <c r="H50" s="509">
        <f t="shared" si="4"/>
        <v>0</v>
      </c>
      <c r="I50" s="238"/>
      <c r="K50" s="712"/>
      <c r="L50" s="713"/>
      <c r="M50" s="713"/>
      <c r="N50" s="713"/>
      <c r="O50" s="713"/>
      <c r="P50" s="713"/>
      <c r="Q50" s="713"/>
      <c r="R50" s="713"/>
      <c r="S50" s="713"/>
      <c r="T50" s="713"/>
      <c r="U50" s="713"/>
      <c r="V50" s="713"/>
      <c r="W50" s="713"/>
      <c r="X50" s="714"/>
    </row>
    <row r="51" spans="2:24" ht="22.95" customHeight="1">
      <c r="B51" s="237"/>
      <c r="C51" s="510" t="s">
        <v>237</v>
      </c>
      <c r="D51" s="516" t="s">
        <v>291</v>
      </c>
      <c r="E51" s="625">
        <v>0</v>
      </c>
      <c r="F51" s="625">
        <v>0</v>
      </c>
      <c r="G51" s="625">
        <v>0</v>
      </c>
      <c r="H51" s="625">
        <v>0</v>
      </c>
      <c r="I51" s="238"/>
      <c r="K51" s="712"/>
      <c r="L51" s="713"/>
      <c r="M51" s="713"/>
      <c r="N51" s="713"/>
      <c r="O51" s="713"/>
      <c r="P51" s="713"/>
      <c r="Q51" s="713"/>
      <c r="R51" s="713"/>
      <c r="S51" s="713"/>
      <c r="T51" s="713"/>
      <c r="U51" s="713"/>
      <c r="V51" s="713"/>
      <c r="W51" s="713"/>
      <c r="X51" s="714"/>
    </row>
    <row r="52" spans="2:24" ht="22.95" customHeight="1">
      <c r="B52" s="237"/>
      <c r="C52" s="513" t="s">
        <v>239</v>
      </c>
      <c r="D52" s="516" t="s">
        <v>292</v>
      </c>
      <c r="E52" s="515">
        <v>0</v>
      </c>
      <c r="F52" s="515">
        <v>0</v>
      </c>
      <c r="G52" s="515">
        <v>-15.7</v>
      </c>
      <c r="H52" s="515">
        <v>0</v>
      </c>
      <c r="I52" s="238"/>
      <c r="K52" s="712"/>
      <c r="L52" s="713"/>
      <c r="M52" s="713"/>
      <c r="N52" s="713"/>
      <c r="O52" s="713"/>
      <c r="P52" s="713"/>
      <c r="Q52" s="713"/>
      <c r="R52" s="713"/>
      <c r="S52" s="713"/>
      <c r="T52" s="713"/>
      <c r="U52" s="713"/>
      <c r="V52" s="713"/>
      <c r="W52" s="713"/>
      <c r="X52" s="714"/>
    </row>
    <row r="53" spans="2:24" ht="22.95" customHeight="1">
      <c r="B53" s="237"/>
      <c r="C53" s="623" t="s">
        <v>241</v>
      </c>
      <c r="D53" s="622" t="s">
        <v>293</v>
      </c>
      <c r="E53" s="624">
        <v>0</v>
      </c>
      <c r="F53" s="624">
        <v>0</v>
      </c>
      <c r="G53" s="624">
        <v>0</v>
      </c>
      <c r="H53" s="624">
        <v>0</v>
      </c>
      <c r="I53" s="238"/>
      <c r="K53" s="712"/>
      <c r="L53" s="713"/>
      <c r="M53" s="713"/>
      <c r="N53" s="713"/>
      <c r="O53" s="713"/>
      <c r="P53" s="713"/>
      <c r="Q53" s="713"/>
      <c r="R53" s="713"/>
      <c r="S53" s="713"/>
      <c r="T53" s="713"/>
      <c r="U53" s="713"/>
      <c r="V53" s="713"/>
      <c r="W53" s="713"/>
      <c r="X53" s="714"/>
    </row>
    <row r="54" spans="2:24" ht="22.95" customHeight="1">
      <c r="B54" s="237"/>
      <c r="C54" s="507" t="s">
        <v>294</v>
      </c>
      <c r="D54" s="508" t="s">
        <v>295</v>
      </c>
      <c r="E54" s="183">
        <v>0</v>
      </c>
      <c r="F54" s="183">
        <v>0</v>
      </c>
      <c r="G54" s="183">
        <v>0</v>
      </c>
      <c r="H54" s="183">
        <v>0</v>
      </c>
      <c r="I54" s="238"/>
      <c r="K54" s="712"/>
      <c r="L54" s="713"/>
      <c r="M54" s="713"/>
      <c r="N54" s="713"/>
      <c r="O54" s="713"/>
      <c r="P54" s="713"/>
      <c r="Q54" s="713"/>
      <c r="R54" s="713"/>
      <c r="S54" s="713"/>
      <c r="T54" s="713"/>
      <c r="U54" s="713"/>
      <c r="V54" s="713"/>
      <c r="W54" s="713"/>
      <c r="X54" s="714"/>
    </row>
    <row r="55" spans="2:24" ht="22.95" customHeight="1">
      <c r="B55" s="237"/>
      <c r="C55" s="507" t="s">
        <v>296</v>
      </c>
      <c r="D55" s="508" t="s">
        <v>297</v>
      </c>
      <c r="E55" s="183">
        <v>0</v>
      </c>
      <c r="F55" s="183">
        <v>0</v>
      </c>
      <c r="G55" s="183">
        <v>0</v>
      </c>
      <c r="H55" s="183">
        <v>0</v>
      </c>
      <c r="I55" s="238"/>
      <c r="K55" s="712"/>
      <c r="L55" s="713"/>
      <c r="M55" s="713"/>
      <c r="N55" s="713"/>
      <c r="O55" s="713"/>
      <c r="P55" s="713"/>
      <c r="Q55" s="713"/>
      <c r="R55" s="713"/>
      <c r="S55" s="713"/>
      <c r="T55" s="713"/>
      <c r="U55" s="713"/>
      <c r="V55" s="713"/>
      <c r="W55" s="713"/>
      <c r="X55" s="714"/>
    </row>
    <row r="56" spans="2:24" ht="22.95" customHeight="1">
      <c r="B56" s="237"/>
      <c r="C56" s="507" t="s">
        <v>298</v>
      </c>
      <c r="D56" s="508" t="s">
        <v>299</v>
      </c>
      <c r="E56" s="183">
        <v>0</v>
      </c>
      <c r="F56" s="183">
        <v>0</v>
      </c>
      <c r="G56" s="183">
        <v>0</v>
      </c>
      <c r="H56" s="183">
        <v>0</v>
      </c>
      <c r="I56" s="238"/>
      <c r="K56" s="712"/>
      <c r="L56" s="713"/>
      <c r="M56" s="713"/>
      <c r="N56" s="713"/>
      <c r="O56" s="713"/>
      <c r="P56" s="713"/>
      <c r="Q56" s="713"/>
      <c r="R56" s="713"/>
      <c r="S56" s="713"/>
      <c r="T56" s="713"/>
      <c r="U56" s="713"/>
      <c r="V56" s="713"/>
      <c r="W56" s="713"/>
      <c r="X56" s="714"/>
    </row>
    <row r="57" spans="2:24" ht="22.95" customHeight="1" thickBot="1">
      <c r="B57" s="237"/>
      <c r="C57" s="518" t="s">
        <v>300</v>
      </c>
      <c r="D57" s="519" t="s">
        <v>301</v>
      </c>
      <c r="E57" s="520">
        <f>E47+E50+E54+E55+E56</f>
        <v>13.61</v>
      </c>
      <c r="F57" s="520">
        <f>F47+F50+F54+F55+F56</f>
        <v>13</v>
      </c>
      <c r="G57" s="520">
        <f t="shared" ref="G57" si="5">G47+G50+G54+G55+G56</f>
        <v>-2.9899999999999984</v>
      </c>
      <c r="H57" s="520">
        <f>H47+H50+H54+H55+H56</f>
        <v>0</v>
      </c>
      <c r="I57" s="238"/>
      <c r="K57" s="712"/>
      <c r="L57" s="713"/>
      <c r="M57" s="713"/>
      <c r="N57" s="713"/>
      <c r="O57" s="713"/>
      <c r="P57" s="713"/>
      <c r="Q57" s="713"/>
      <c r="R57" s="713"/>
      <c r="S57" s="713"/>
      <c r="T57" s="713"/>
      <c r="U57" s="713"/>
      <c r="V57" s="713"/>
      <c r="W57" s="713"/>
      <c r="X57" s="714"/>
    </row>
    <row r="58" spans="2:24" ht="22.95" customHeight="1">
      <c r="B58" s="237"/>
      <c r="C58" s="522"/>
      <c r="D58" s="523"/>
      <c r="E58" s="506"/>
      <c r="F58" s="506"/>
      <c r="G58" s="506"/>
      <c r="H58" s="506"/>
      <c r="I58" s="238"/>
      <c r="K58" s="712"/>
      <c r="L58" s="713"/>
      <c r="M58" s="713"/>
      <c r="N58" s="713"/>
      <c r="O58" s="713"/>
      <c r="P58" s="713"/>
      <c r="Q58" s="713"/>
      <c r="R58" s="713"/>
      <c r="S58" s="713"/>
      <c r="T58" s="713"/>
      <c r="U58" s="713"/>
      <c r="V58" s="713"/>
      <c r="W58" s="713"/>
      <c r="X58" s="714"/>
    </row>
    <row r="59" spans="2:24" ht="22.95" customHeight="1" thickBot="1">
      <c r="B59" s="237"/>
      <c r="C59" s="518" t="s">
        <v>302</v>
      </c>
      <c r="D59" s="519" t="s">
        <v>303</v>
      </c>
      <c r="E59" s="524">
        <f>E57+E45</f>
        <v>50832.22999999977</v>
      </c>
      <c r="F59" s="524">
        <f>F57+F45</f>
        <v>4.3655745685100555E-11</v>
      </c>
      <c r="G59" s="524">
        <f>G57+G45</f>
        <v>31382.190000000097</v>
      </c>
      <c r="H59" s="524">
        <f>H57+H45</f>
        <v>-9.822542779147625E-11</v>
      </c>
      <c r="I59" s="238"/>
      <c r="K59" s="712"/>
      <c r="L59" s="713"/>
      <c r="M59" s="713"/>
      <c r="N59" s="713"/>
      <c r="O59" s="713"/>
      <c r="P59" s="713"/>
      <c r="Q59" s="713"/>
      <c r="R59" s="713"/>
      <c r="S59" s="713"/>
      <c r="T59" s="713"/>
      <c r="U59" s="713"/>
      <c r="V59" s="713"/>
      <c r="W59" s="713"/>
      <c r="X59" s="714"/>
    </row>
    <row r="60" spans="2:24" ht="22.95" customHeight="1">
      <c r="B60" s="237"/>
      <c r="C60" s="507" t="s">
        <v>304</v>
      </c>
      <c r="D60" s="508" t="s">
        <v>305</v>
      </c>
      <c r="E60" s="183">
        <v>-9200.7999999999993</v>
      </c>
      <c r="F60" s="183">
        <v>0</v>
      </c>
      <c r="G60" s="183">
        <v>-7252.13</v>
      </c>
      <c r="H60" s="183">
        <v>0</v>
      </c>
      <c r="I60" s="238"/>
      <c r="K60" s="712"/>
      <c r="L60" s="713"/>
      <c r="M60" s="713"/>
      <c r="N60" s="713"/>
      <c r="O60" s="713"/>
      <c r="P60" s="713"/>
      <c r="Q60" s="713"/>
      <c r="R60" s="713"/>
      <c r="S60" s="713"/>
      <c r="T60" s="713"/>
      <c r="U60" s="713"/>
      <c r="V60" s="713"/>
      <c r="W60" s="713"/>
      <c r="X60" s="714"/>
    </row>
    <row r="61" spans="2:24" s="530" customFormat="1" ht="22.95" customHeight="1">
      <c r="B61" s="237"/>
      <c r="C61" s="525"/>
      <c r="D61" s="339"/>
      <c r="E61" s="506"/>
      <c r="F61" s="506"/>
      <c r="G61" s="506"/>
      <c r="H61" s="506"/>
      <c r="I61" s="238"/>
      <c r="J61" s="23"/>
      <c r="K61" s="712"/>
      <c r="L61" s="713"/>
      <c r="M61" s="713"/>
      <c r="N61" s="713"/>
      <c r="O61" s="713"/>
      <c r="P61" s="713"/>
      <c r="Q61" s="713"/>
      <c r="R61" s="713"/>
      <c r="S61" s="713"/>
      <c r="T61" s="713"/>
      <c r="U61" s="713"/>
      <c r="V61" s="713"/>
      <c r="W61" s="713"/>
      <c r="X61" s="714"/>
    </row>
    <row r="62" spans="2:24" s="596" customFormat="1" ht="39" customHeight="1" thickBot="1">
      <c r="B62" s="591"/>
      <c r="C62" s="592" t="s">
        <v>306</v>
      </c>
      <c r="D62" s="593" t="s">
        <v>307</v>
      </c>
      <c r="E62" s="594">
        <f>E59+E60</f>
        <v>41631.429999999775</v>
      </c>
      <c r="F62" s="594">
        <f>F59+F60</f>
        <v>4.3655745685100555E-11</v>
      </c>
      <c r="G62" s="594">
        <f>G59+G60</f>
        <v>24130.060000000096</v>
      </c>
      <c r="H62" s="594">
        <f>H59+H60</f>
        <v>-9.822542779147625E-11</v>
      </c>
      <c r="I62" s="595"/>
      <c r="K62" s="721"/>
      <c r="L62" s="722"/>
      <c r="M62" s="722"/>
      <c r="N62" s="722"/>
      <c r="O62" s="722"/>
      <c r="P62" s="722"/>
      <c r="Q62" s="722"/>
      <c r="R62" s="722"/>
      <c r="S62" s="722"/>
      <c r="T62" s="722"/>
      <c r="U62" s="722"/>
      <c r="V62" s="722"/>
      <c r="W62" s="722"/>
      <c r="X62" s="723"/>
    </row>
    <row r="63" spans="2:24" ht="10.95" customHeight="1">
      <c r="B63" s="237"/>
      <c r="C63" s="575"/>
      <c r="D63" s="28"/>
      <c r="E63" s="576"/>
      <c r="F63" s="576"/>
      <c r="G63" s="576"/>
      <c r="H63" s="576"/>
      <c r="I63" s="238"/>
      <c r="K63" s="718"/>
      <c r="L63" s="719"/>
      <c r="M63" s="719"/>
      <c r="N63" s="719"/>
      <c r="O63" s="719"/>
      <c r="P63" s="719"/>
      <c r="Q63" s="719"/>
      <c r="R63" s="719"/>
      <c r="S63" s="719"/>
      <c r="T63" s="719"/>
      <c r="U63" s="719"/>
      <c r="V63" s="719"/>
      <c r="W63" s="719"/>
      <c r="X63" s="720"/>
    </row>
    <row r="64" spans="2:24" ht="22.95" customHeight="1">
      <c r="B64" s="237"/>
      <c r="C64" s="577" t="s">
        <v>308</v>
      </c>
      <c r="D64" s="578" t="s">
        <v>309</v>
      </c>
      <c r="E64" s="579"/>
      <c r="F64" s="579"/>
      <c r="G64" s="579"/>
      <c r="H64" s="579"/>
      <c r="I64" s="238"/>
      <c r="K64" s="718"/>
      <c r="L64" s="719"/>
      <c r="M64" s="719"/>
      <c r="N64" s="719"/>
      <c r="O64" s="719"/>
      <c r="P64" s="719"/>
      <c r="Q64" s="719"/>
      <c r="R64" s="719"/>
      <c r="S64" s="719"/>
      <c r="T64" s="719"/>
      <c r="U64" s="719"/>
      <c r="V64" s="719"/>
      <c r="W64" s="719"/>
      <c r="X64" s="720"/>
    </row>
    <row r="65" spans="2:24" ht="33" customHeight="1">
      <c r="B65" s="237"/>
      <c r="C65" s="507" t="s">
        <v>235</v>
      </c>
      <c r="D65" s="508" t="s">
        <v>310</v>
      </c>
      <c r="E65" s="183">
        <v>0</v>
      </c>
      <c r="F65" s="183">
        <v>0</v>
      </c>
      <c r="G65" s="183">
        <v>0</v>
      </c>
      <c r="H65" s="183">
        <v>0</v>
      </c>
      <c r="I65" s="238"/>
      <c r="K65" s="718"/>
      <c r="L65" s="719"/>
      <c r="M65" s="719"/>
      <c r="N65" s="719"/>
      <c r="O65" s="719"/>
      <c r="P65" s="719"/>
      <c r="Q65" s="719"/>
      <c r="R65" s="719"/>
      <c r="S65" s="719"/>
      <c r="T65" s="719"/>
      <c r="U65" s="719"/>
      <c r="V65" s="719"/>
      <c r="W65" s="719"/>
      <c r="X65" s="720"/>
    </row>
    <row r="66" spans="2:24" ht="22.95" customHeight="1">
      <c r="B66" s="237"/>
      <c r="C66" s="507" t="s">
        <v>247</v>
      </c>
      <c r="D66" s="508" t="s">
        <v>311</v>
      </c>
      <c r="E66" s="183">
        <v>0</v>
      </c>
      <c r="F66" s="183">
        <v>0</v>
      </c>
      <c r="G66" s="183">
        <v>0</v>
      </c>
      <c r="H66" s="183">
        <v>0</v>
      </c>
      <c r="I66" s="238"/>
      <c r="K66" s="718"/>
      <c r="L66" s="719"/>
      <c r="M66" s="719"/>
      <c r="N66" s="719"/>
      <c r="O66" s="719"/>
      <c r="P66" s="719"/>
      <c r="Q66" s="719"/>
      <c r="R66" s="719"/>
      <c r="S66" s="719"/>
      <c r="T66" s="719"/>
      <c r="U66" s="719"/>
      <c r="V66" s="719"/>
      <c r="W66" s="719"/>
      <c r="X66" s="720"/>
    </row>
    <row r="67" spans="2:24" ht="22.95" customHeight="1">
      <c r="B67" s="237"/>
      <c r="C67" s="507" t="s">
        <v>249</v>
      </c>
      <c r="D67" s="508" t="s">
        <v>312</v>
      </c>
      <c r="E67" s="183">
        <v>35179.65</v>
      </c>
      <c r="F67" s="183">
        <v>0</v>
      </c>
      <c r="G67" s="183">
        <v>0</v>
      </c>
      <c r="H67" s="183">
        <v>0</v>
      </c>
      <c r="I67" s="238"/>
      <c r="K67" s="718"/>
      <c r="L67" s="719"/>
      <c r="M67" s="719"/>
      <c r="N67" s="719"/>
      <c r="O67" s="719"/>
      <c r="P67" s="719"/>
      <c r="Q67" s="719"/>
      <c r="R67" s="719"/>
      <c r="S67" s="719"/>
      <c r="T67" s="719"/>
      <c r="U67" s="719"/>
      <c r="V67" s="719"/>
      <c r="W67" s="719"/>
      <c r="X67" s="720"/>
    </row>
    <row r="68" spans="2:24" ht="22.95" customHeight="1">
      <c r="B68" s="237"/>
      <c r="C68" s="507" t="s">
        <v>255</v>
      </c>
      <c r="D68" s="508" t="s">
        <v>313</v>
      </c>
      <c r="E68" s="183">
        <v>0</v>
      </c>
      <c r="F68" s="183">
        <v>0</v>
      </c>
      <c r="G68" s="183">
        <v>0</v>
      </c>
      <c r="H68" s="183">
        <v>0</v>
      </c>
      <c r="I68" s="238"/>
      <c r="K68" s="718"/>
      <c r="L68" s="719"/>
      <c r="M68" s="719"/>
      <c r="N68" s="719"/>
      <c r="O68" s="719"/>
      <c r="P68" s="719"/>
      <c r="Q68" s="719"/>
      <c r="R68" s="719"/>
      <c r="S68" s="719"/>
      <c r="T68" s="719"/>
      <c r="U68" s="719"/>
      <c r="V68" s="719"/>
      <c r="W68" s="719"/>
      <c r="X68" s="720"/>
    </row>
    <row r="69" spans="2:24" ht="22.95" customHeight="1">
      <c r="B69" s="237"/>
      <c r="C69" s="507" t="s">
        <v>257</v>
      </c>
      <c r="D69" s="508" t="s">
        <v>314</v>
      </c>
      <c r="E69" s="183">
        <v>0</v>
      </c>
      <c r="F69" s="183">
        <v>0</v>
      </c>
      <c r="G69" s="183">
        <v>0</v>
      </c>
      <c r="H69" s="183">
        <v>0</v>
      </c>
      <c r="I69" s="238"/>
      <c r="K69" s="718"/>
      <c r="L69" s="719"/>
      <c r="M69" s="719"/>
      <c r="N69" s="719"/>
      <c r="O69" s="719"/>
      <c r="P69" s="719"/>
      <c r="Q69" s="719"/>
      <c r="R69" s="719"/>
      <c r="S69" s="719"/>
      <c r="T69" s="719"/>
      <c r="U69" s="719"/>
      <c r="V69" s="719"/>
      <c r="W69" s="719"/>
      <c r="X69" s="720"/>
    </row>
    <row r="70" spans="2:24" ht="22.95" customHeight="1">
      <c r="B70" s="237"/>
      <c r="C70" s="507" t="s">
        <v>259</v>
      </c>
      <c r="D70" s="508" t="s">
        <v>315</v>
      </c>
      <c r="E70" s="183">
        <v>-7459.62</v>
      </c>
      <c r="F70" s="183">
        <v>0</v>
      </c>
      <c r="G70" s="183">
        <v>0</v>
      </c>
      <c r="H70" s="183">
        <v>0</v>
      </c>
      <c r="I70" s="238"/>
      <c r="K70" s="718"/>
      <c r="L70" s="719"/>
      <c r="M70" s="719"/>
      <c r="N70" s="719"/>
      <c r="O70" s="719"/>
      <c r="P70" s="719"/>
      <c r="Q70" s="719"/>
      <c r="R70" s="719"/>
      <c r="S70" s="719"/>
      <c r="T70" s="719"/>
      <c r="U70" s="719"/>
      <c r="V70" s="719"/>
      <c r="W70" s="719"/>
      <c r="X70" s="720"/>
    </row>
    <row r="71" spans="2:24" s="266" customFormat="1" ht="40.200000000000003" customHeight="1" thickBot="1">
      <c r="B71" s="580"/>
      <c r="C71" s="581" t="s">
        <v>316</v>
      </c>
      <c r="D71" s="582" t="s">
        <v>317</v>
      </c>
      <c r="E71" s="583">
        <f>SUM(E66:E70)</f>
        <v>27720.030000000002</v>
      </c>
      <c r="F71" s="583">
        <f>SUM(F66:F70)</f>
        <v>0</v>
      </c>
      <c r="G71" s="583">
        <f>SUM(G66:G70)</f>
        <v>0</v>
      </c>
      <c r="H71" s="583">
        <f>SUM(H66:H70)</f>
        <v>0</v>
      </c>
      <c r="I71" s="584"/>
      <c r="K71" s="718"/>
      <c r="L71" s="719"/>
      <c r="M71" s="719"/>
      <c r="N71" s="719"/>
      <c r="O71" s="719"/>
      <c r="P71" s="719"/>
      <c r="Q71" s="719"/>
      <c r="R71" s="719"/>
      <c r="S71" s="719"/>
      <c r="T71" s="719"/>
      <c r="U71" s="719"/>
      <c r="V71" s="719"/>
      <c r="W71" s="719"/>
      <c r="X71" s="720"/>
    </row>
    <row r="72" spans="2:24" ht="9" customHeight="1">
      <c r="B72" s="237"/>
      <c r="C72" s="575"/>
      <c r="D72" s="28"/>
      <c r="E72" s="576"/>
      <c r="F72" s="576"/>
      <c r="G72" s="576"/>
      <c r="H72" s="576"/>
      <c r="I72" s="238"/>
      <c r="K72" s="718"/>
      <c r="L72" s="719"/>
      <c r="M72" s="719"/>
      <c r="N72" s="719"/>
      <c r="O72" s="719"/>
      <c r="P72" s="719"/>
      <c r="Q72" s="719"/>
      <c r="R72" s="719"/>
      <c r="S72" s="719"/>
      <c r="T72" s="719"/>
      <c r="U72" s="719"/>
      <c r="V72" s="719"/>
      <c r="W72" s="719"/>
      <c r="X72" s="720"/>
    </row>
    <row r="73" spans="2:24" ht="22.95" customHeight="1">
      <c r="B73" s="237"/>
      <c r="C73" s="577" t="s">
        <v>318</v>
      </c>
      <c r="D73" s="578" t="s">
        <v>319</v>
      </c>
      <c r="E73" s="579"/>
      <c r="F73" s="579"/>
      <c r="G73" s="579"/>
      <c r="H73" s="579"/>
      <c r="I73" s="238"/>
      <c r="K73" s="718"/>
      <c r="L73" s="719"/>
      <c r="M73" s="719"/>
      <c r="N73" s="719"/>
      <c r="O73" s="719"/>
      <c r="P73" s="719"/>
      <c r="Q73" s="719"/>
      <c r="R73" s="719"/>
      <c r="S73" s="719"/>
      <c r="T73" s="719"/>
      <c r="U73" s="719"/>
      <c r="V73" s="719"/>
      <c r="W73" s="719"/>
      <c r="X73" s="720"/>
    </row>
    <row r="74" spans="2:24" ht="22.95" customHeight="1">
      <c r="B74" s="237"/>
      <c r="C74" s="507" t="s">
        <v>235</v>
      </c>
      <c r="D74" s="508" t="s">
        <v>310</v>
      </c>
      <c r="E74" s="183">
        <v>0</v>
      </c>
      <c r="F74" s="183">
        <v>0</v>
      </c>
      <c r="G74" s="183">
        <v>0</v>
      </c>
      <c r="H74" s="183">
        <v>0</v>
      </c>
      <c r="I74" s="238"/>
      <c r="K74" s="718"/>
      <c r="L74" s="719"/>
      <c r="M74" s="719"/>
      <c r="N74" s="719"/>
      <c r="O74" s="719"/>
      <c r="P74" s="719"/>
      <c r="Q74" s="719"/>
      <c r="R74" s="719"/>
      <c r="S74" s="719"/>
      <c r="T74" s="719"/>
      <c r="U74" s="719"/>
      <c r="V74" s="719"/>
      <c r="W74" s="719"/>
      <c r="X74" s="720"/>
    </row>
    <row r="75" spans="2:24" ht="22.95" customHeight="1">
      <c r="B75" s="237"/>
      <c r="C75" s="507" t="s">
        <v>247</v>
      </c>
      <c r="D75" s="508" t="s">
        <v>311</v>
      </c>
      <c r="E75" s="183">
        <v>0</v>
      </c>
      <c r="F75" s="183">
        <v>0</v>
      </c>
      <c r="G75" s="183">
        <v>0</v>
      </c>
      <c r="H75" s="183">
        <v>0</v>
      </c>
      <c r="I75" s="238"/>
      <c r="K75" s="718"/>
      <c r="L75" s="719"/>
      <c r="M75" s="719"/>
      <c r="N75" s="719"/>
      <c r="O75" s="719"/>
      <c r="P75" s="719"/>
      <c r="Q75" s="719"/>
      <c r="R75" s="719"/>
      <c r="S75" s="719"/>
      <c r="T75" s="719"/>
      <c r="U75" s="719"/>
      <c r="V75" s="719"/>
      <c r="W75" s="719"/>
      <c r="X75" s="720"/>
    </row>
    <row r="76" spans="2:24" ht="22.95" customHeight="1">
      <c r="B76" s="237"/>
      <c r="C76" s="507" t="s">
        <v>249</v>
      </c>
      <c r="D76" s="508" t="s">
        <v>312</v>
      </c>
      <c r="E76" s="183">
        <v>-7269.38</v>
      </c>
      <c r="F76" s="183">
        <f>-F41</f>
        <v>-6256.39</v>
      </c>
      <c r="G76" s="183">
        <f>-G41</f>
        <v>-5966.41</v>
      </c>
      <c r="H76" s="183">
        <f>-H41</f>
        <v>-4199.46</v>
      </c>
      <c r="I76" s="238"/>
      <c r="K76" s="718"/>
      <c r="L76" s="719"/>
      <c r="M76" s="719"/>
      <c r="N76" s="719"/>
      <c r="O76" s="719"/>
      <c r="P76" s="719"/>
      <c r="Q76" s="719"/>
      <c r="R76" s="719"/>
      <c r="S76" s="719"/>
      <c r="T76" s="719"/>
      <c r="U76" s="719"/>
      <c r="V76" s="719"/>
      <c r="W76" s="719"/>
      <c r="X76" s="720"/>
    </row>
    <row r="77" spans="2:24" ht="22.95" customHeight="1">
      <c r="B77" s="237"/>
      <c r="C77" s="507" t="s">
        <v>255</v>
      </c>
      <c r="D77" s="508" t="s">
        <v>313</v>
      </c>
      <c r="E77" s="183">
        <v>1025</v>
      </c>
      <c r="F77" s="183">
        <v>0</v>
      </c>
      <c r="G77" s="183">
        <v>0</v>
      </c>
      <c r="H77" s="183">
        <v>0</v>
      </c>
      <c r="I77" s="238"/>
      <c r="K77" s="718"/>
      <c r="L77" s="719"/>
      <c r="M77" s="719"/>
      <c r="N77" s="719"/>
      <c r="O77" s="719"/>
      <c r="P77" s="719"/>
      <c r="Q77" s="719"/>
      <c r="R77" s="719"/>
      <c r="S77" s="719"/>
      <c r="T77" s="719"/>
      <c r="U77" s="719"/>
      <c r="V77" s="719"/>
      <c r="W77" s="719"/>
      <c r="X77" s="720"/>
    </row>
    <row r="78" spans="2:24" ht="22.95" customHeight="1">
      <c r="B78" s="237"/>
      <c r="C78" s="507" t="s">
        <v>257</v>
      </c>
      <c r="D78" s="508" t="s">
        <v>315</v>
      </c>
      <c r="E78" s="183">
        <v>0</v>
      </c>
      <c r="F78" s="183">
        <v>1032.57</v>
      </c>
      <c r="G78" s="183">
        <f>-'FC-9_TRANS_SUBV'!I43</f>
        <v>965.87648999999999</v>
      </c>
      <c r="H78" s="183">
        <f>-'FC-9_TRANS_SUBV'!L43</f>
        <v>965.88</v>
      </c>
      <c r="I78" s="238"/>
      <c r="K78" s="718"/>
      <c r="L78" s="719"/>
      <c r="M78" s="719"/>
      <c r="N78" s="719"/>
      <c r="O78" s="719"/>
      <c r="P78" s="719"/>
      <c r="Q78" s="719"/>
      <c r="R78" s="719"/>
      <c r="S78" s="719"/>
      <c r="T78" s="719"/>
      <c r="U78" s="719"/>
      <c r="V78" s="719"/>
      <c r="W78" s="719"/>
      <c r="X78" s="720"/>
    </row>
    <row r="79" spans="2:24" ht="37.950000000000003" customHeight="1" thickBot="1">
      <c r="B79" s="237"/>
      <c r="C79" s="581" t="s">
        <v>320</v>
      </c>
      <c r="D79" s="582" t="s">
        <v>321</v>
      </c>
      <c r="E79" s="583">
        <f>SUM(E74:E78)</f>
        <v>-6244.38</v>
      </c>
      <c r="F79" s="583">
        <f>SUM(F74:F78)</f>
        <v>-5223.8200000000006</v>
      </c>
      <c r="G79" s="583">
        <f>SUM(G74:G78)</f>
        <v>-5000.5335100000002</v>
      </c>
      <c r="H79" s="583">
        <f>SUM(H74:H78)</f>
        <v>-3233.58</v>
      </c>
      <c r="I79" s="238"/>
      <c r="K79" s="718"/>
      <c r="L79" s="719"/>
      <c r="M79" s="719"/>
      <c r="N79" s="719"/>
      <c r="O79" s="719"/>
      <c r="P79" s="719"/>
      <c r="Q79" s="719"/>
      <c r="R79" s="719"/>
      <c r="S79" s="719"/>
      <c r="T79" s="719"/>
      <c r="U79" s="719"/>
      <c r="V79" s="719"/>
      <c r="W79" s="719"/>
      <c r="X79" s="720"/>
    </row>
    <row r="80" spans="2:24" ht="9" customHeight="1">
      <c r="B80" s="237"/>
      <c r="C80" s="575"/>
      <c r="D80" s="28"/>
      <c r="E80" s="576"/>
      <c r="F80" s="576"/>
      <c r="G80" s="576"/>
      <c r="H80" s="576"/>
      <c r="I80" s="238"/>
      <c r="K80" s="718"/>
      <c r="L80" s="719"/>
      <c r="M80" s="719"/>
      <c r="N80" s="719"/>
      <c r="O80" s="719"/>
      <c r="P80" s="719"/>
      <c r="Q80" s="719"/>
      <c r="R80" s="719"/>
      <c r="S80" s="719"/>
      <c r="T80" s="719"/>
      <c r="U80" s="719"/>
      <c r="V80" s="719"/>
      <c r="W80" s="719"/>
      <c r="X80" s="720"/>
    </row>
    <row r="81" spans="2:24" ht="40.200000000000003" customHeight="1" thickBot="1">
      <c r="B81" s="237"/>
      <c r="C81" s="585" t="s">
        <v>322</v>
      </c>
      <c r="D81" s="586" t="s">
        <v>323</v>
      </c>
      <c r="E81" s="587">
        <f>+E71+E79</f>
        <v>21475.65</v>
      </c>
      <c r="F81" s="587">
        <f>+F71+F79</f>
        <v>-5223.8200000000006</v>
      </c>
      <c r="G81" s="587">
        <f>+G71+G79</f>
        <v>-5000.5335100000002</v>
      </c>
      <c r="H81" s="587">
        <f>+H71+H79</f>
        <v>-3233.58</v>
      </c>
      <c r="I81" s="238"/>
      <c r="K81" s="718"/>
      <c r="L81" s="719"/>
      <c r="M81" s="719"/>
      <c r="N81" s="719"/>
      <c r="O81" s="719"/>
      <c r="P81" s="719"/>
      <c r="Q81" s="719"/>
      <c r="R81" s="719"/>
      <c r="S81" s="719"/>
      <c r="T81" s="719"/>
      <c r="U81" s="719"/>
      <c r="V81" s="719"/>
      <c r="W81" s="719"/>
      <c r="X81" s="720"/>
    </row>
    <row r="82" spans="2:24" ht="22.95" customHeight="1" thickBot="1">
      <c r="B82" s="237"/>
      <c r="C82" s="585" t="s">
        <v>324</v>
      </c>
      <c r="D82" s="586" t="s">
        <v>325</v>
      </c>
      <c r="E82" s="597">
        <v>0</v>
      </c>
      <c r="F82" s="597">
        <v>0</v>
      </c>
      <c r="G82" s="597">
        <v>0</v>
      </c>
      <c r="H82" s="597">
        <v>0</v>
      </c>
      <c r="I82" s="238"/>
      <c r="K82" s="718"/>
      <c r="L82" s="719"/>
      <c r="M82" s="719"/>
      <c r="N82" s="719"/>
      <c r="O82" s="719"/>
      <c r="P82" s="719"/>
      <c r="Q82" s="719"/>
      <c r="R82" s="719"/>
      <c r="S82" s="719"/>
      <c r="T82" s="719"/>
      <c r="U82" s="719"/>
      <c r="V82" s="719"/>
      <c r="W82" s="719"/>
      <c r="X82" s="720"/>
    </row>
    <row r="83" spans="2:24" ht="22.95" customHeight="1" thickBot="1">
      <c r="B83" s="237"/>
      <c r="C83" s="585" t="s">
        <v>326</v>
      </c>
      <c r="D83" s="586" t="s">
        <v>327</v>
      </c>
      <c r="E83" s="597">
        <v>0</v>
      </c>
      <c r="F83" s="597">
        <v>0</v>
      </c>
      <c r="G83" s="597">
        <v>0</v>
      </c>
      <c r="H83" s="597">
        <v>0</v>
      </c>
      <c r="I83" s="238"/>
      <c r="K83" s="718"/>
      <c r="L83" s="719"/>
      <c r="M83" s="719"/>
      <c r="N83" s="719"/>
      <c r="O83" s="719"/>
      <c r="P83" s="719"/>
      <c r="Q83" s="719"/>
      <c r="R83" s="719"/>
      <c r="S83" s="719"/>
      <c r="T83" s="719"/>
      <c r="U83" s="719"/>
      <c r="V83" s="719"/>
      <c r="W83" s="719"/>
      <c r="X83" s="720"/>
    </row>
    <row r="84" spans="2:24" ht="22.95" customHeight="1" thickBot="1">
      <c r="B84" s="237"/>
      <c r="C84" s="585" t="s">
        <v>328</v>
      </c>
      <c r="D84" s="586" t="s">
        <v>329</v>
      </c>
      <c r="E84" s="597">
        <v>0</v>
      </c>
      <c r="F84" s="597">
        <v>0</v>
      </c>
      <c r="G84" s="597">
        <v>0</v>
      </c>
      <c r="H84" s="597">
        <v>0</v>
      </c>
      <c r="I84" s="238"/>
      <c r="K84" s="718"/>
      <c r="L84" s="719"/>
      <c r="M84" s="719"/>
      <c r="N84" s="719"/>
      <c r="O84" s="719"/>
      <c r="P84" s="719"/>
      <c r="Q84" s="719"/>
      <c r="R84" s="719"/>
      <c r="S84" s="719"/>
      <c r="T84" s="719"/>
      <c r="U84" s="719"/>
      <c r="V84" s="719"/>
      <c r="W84" s="719"/>
      <c r="X84" s="720"/>
    </row>
    <row r="85" spans="2:24" ht="22.95" customHeight="1" thickBot="1">
      <c r="B85" s="237"/>
      <c r="C85" s="585" t="s">
        <v>330</v>
      </c>
      <c r="D85" s="586" t="s">
        <v>331</v>
      </c>
      <c r="E85" s="597">
        <v>0</v>
      </c>
      <c r="F85" s="597">
        <v>0</v>
      </c>
      <c r="G85" s="597">
        <v>-148.81</v>
      </c>
      <c r="H85" s="597">
        <v>0</v>
      </c>
      <c r="I85" s="238"/>
      <c r="K85" s="718"/>
      <c r="L85" s="719"/>
      <c r="M85" s="719"/>
      <c r="N85" s="719"/>
      <c r="O85" s="719"/>
      <c r="P85" s="719"/>
      <c r="Q85" s="719"/>
      <c r="R85" s="719"/>
      <c r="S85" s="719"/>
      <c r="T85" s="719"/>
      <c r="U85" s="719"/>
      <c r="V85" s="719"/>
      <c r="W85" s="719"/>
      <c r="X85" s="720"/>
    </row>
    <row r="86" spans="2:24" ht="9" customHeight="1">
      <c r="B86" s="237"/>
      <c r="I86" s="238"/>
      <c r="K86" s="718"/>
      <c r="L86" s="719"/>
      <c r="M86" s="719"/>
      <c r="N86" s="719"/>
      <c r="O86" s="719"/>
      <c r="P86" s="719"/>
      <c r="Q86" s="719"/>
      <c r="R86" s="719"/>
      <c r="S86" s="719"/>
      <c r="T86" s="719"/>
      <c r="U86" s="719"/>
      <c r="V86" s="719"/>
      <c r="W86" s="719"/>
      <c r="X86" s="720"/>
    </row>
    <row r="87" spans="2:24" s="530" customFormat="1" ht="40.200000000000003" customHeight="1" thickBot="1">
      <c r="B87" s="10"/>
      <c r="C87" s="588" t="s">
        <v>332</v>
      </c>
      <c r="D87" s="589" t="s">
        <v>333</v>
      </c>
      <c r="E87" s="590">
        <f>+E62+E81+E82+E83+E84+E85</f>
        <v>63107.079999999776</v>
      </c>
      <c r="F87" s="590">
        <f>+F62+F81+F82+F83+F84+F85</f>
        <v>-5223.819999999957</v>
      </c>
      <c r="G87" s="590">
        <f>+G62+G81+G82+G83+G84+G85</f>
        <v>18980.716490000093</v>
      </c>
      <c r="H87" s="590">
        <f>+H62+H81+H82+H83+H84+H85</f>
        <v>-3233.5800000000982</v>
      </c>
      <c r="I87" s="242"/>
      <c r="K87" s="724"/>
      <c r="L87" s="725"/>
      <c r="M87" s="725"/>
      <c r="N87" s="725"/>
      <c r="O87" s="725"/>
      <c r="P87" s="725"/>
      <c r="Q87" s="725"/>
      <c r="R87" s="725"/>
      <c r="S87" s="725"/>
      <c r="T87" s="725"/>
      <c r="U87" s="725"/>
      <c r="V87" s="725"/>
      <c r="W87" s="725"/>
      <c r="X87" s="726"/>
    </row>
    <row r="88" spans="2:24" ht="22.95" customHeight="1" thickBot="1">
      <c r="B88" s="258"/>
      <c r="C88" s="1154"/>
      <c r="D88" s="1154"/>
      <c r="E88" s="1154"/>
      <c r="F88" s="1154"/>
      <c r="G88" s="1154"/>
      <c r="H88" s="259"/>
      <c r="I88" s="260"/>
      <c r="K88" s="727"/>
      <c r="L88" s="728"/>
      <c r="M88" s="728"/>
      <c r="N88" s="728"/>
      <c r="O88" s="728"/>
      <c r="P88" s="728"/>
      <c r="Q88" s="728"/>
      <c r="R88" s="728"/>
      <c r="S88" s="728"/>
      <c r="T88" s="728"/>
      <c r="U88" s="728"/>
      <c r="V88" s="728"/>
      <c r="W88" s="728"/>
      <c r="X88" s="729"/>
    </row>
    <row r="89" spans="2:24" ht="22.95" customHeight="1">
      <c r="J89" s="23" t="s">
        <v>179</v>
      </c>
    </row>
    <row r="90" spans="2:24" ht="13.2">
      <c r="C90" s="19" t="s">
        <v>52</v>
      </c>
      <c r="H90" s="22" t="s">
        <v>334</v>
      </c>
    </row>
    <row r="91" spans="2:24" ht="13.2">
      <c r="C91" s="19" t="s">
        <v>54</v>
      </c>
    </row>
    <row r="92" spans="2:24" ht="13.2">
      <c r="C92" s="19" t="s">
        <v>55</v>
      </c>
    </row>
    <row r="93" spans="2:24" ht="13.2">
      <c r="C93" s="19" t="s">
        <v>56</v>
      </c>
    </row>
    <row r="94" spans="2:24" ht="13.2">
      <c r="C94" s="19" t="s">
        <v>57</v>
      </c>
    </row>
  </sheetData>
  <sheetProtection algorithmName="SHA-512" hashValue="s9vdCLwNLMtsgnzy0PJUzDjiK0Enjmw8kIs6kM9gaFMo8GpWvDdDRAbPxO1peZ6qFdLJq5gbmhZi/UwIA2uikQ==" saltValue="PGs48nGPnUsSZzWgfBA/Ug==" spinCount="100000" sheet="1" objects="1" scenarios="1"/>
  <mergeCells count="3">
    <mergeCell ref="C88:G88"/>
    <mergeCell ref="H6:H7"/>
    <mergeCell ref="D9:H9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6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1:AB109"/>
  <sheetViews>
    <sheetView tabSelected="1" topLeftCell="A50" zoomScale="80" zoomScaleNormal="80" zoomScalePageLayoutView="125" workbookViewId="0">
      <selection activeCell="E86" sqref="E86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55.54296875" style="31" customWidth="1"/>
    <col min="5" max="5" width="17.453125" style="32" customWidth="1"/>
    <col min="6" max="6" width="17.1796875" style="32" customWidth="1"/>
    <col min="7" max="7" width="52.54296875" style="32" customWidth="1"/>
    <col min="8" max="8" width="3.54296875" style="32" customWidth="1"/>
    <col min="9" max="9" width="10.54296875" style="1122"/>
    <col min="10" max="16384" width="10.54296875" style="31"/>
  </cols>
  <sheetData>
    <row r="1" spans="1:22" ht="22.95" customHeight="1">
      <c r="I1" s="892"/>
    </row>
    <row r="2" spans="1:22" ht="22.95" customHeight="1">
      <c r="D2" s="318" t="str">
        <f>_GENERAL!D2</f>
        <v>Área de la Presidenta: Igualdad y Diversidad, Hacienda y Proyectos Estratégicos</v>
      </c>
      <c r="I2" s="892"/>
    </row>
    <row r="3" spans="1:22" ht="22.95" customHeight="1">
      <c r="D3" s="318" t="str">
        <f>_GENERAL!D3</f>
        <v>Dirección Insular de Hacienda</v>
      </c>
      <c r="I3" s="892"/>
    </row>
    <row r="4" spans="1:22" ht="22.95" customHeight="1" thickBot="1">
      <c r="A4" s="31" t="s">
        <v>129</v>
      </c>
      <c r="I4" s="892"/>
    </row>
    <row r="5" spans="1:22" ht="9" customHeight="1">
      <c r="B5" s="33"/>
      <c r="C5" s="34"/>
      <c r="D5" s="34"/>
      <c r="E5" s="35"/>
      <c r="F5" s="35"/>
      <c r="G5" s="35"/>
      <c r="H5" s="36"/>
      <c r="I5" s="892"/>
      <c r="J5" s="700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2"/>
    </row>
    <row r="6" spans="1:22" ht="30" customHeight="1">
      <c r="B6" s="37"/>
      <c r="C6" s="28" t="s">
        <v>2</v>
      </c>
      <c r="G6" s="1138">
        <f>ejercicio</f>
        <v>2025</v>
      </c>
      <c r="H6" s="38"/>
      <c r="I6" s="892"/>
      <c r="J6" s="163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6"/>
    </row>
    <row r="7" spans="1:22" ht="30" customHeight="1">
      <c r="B7" s="37"/>
      <c r="C7" s="28" t="s">
        <v>3</v>
      </c>
      <c r="G7" s="1138"/>
      <c r="H7" s="825"/>
      <c r="I7" s="892"/>
      <c r="J7" s="167"/>
      <c r="K7" s="164" t="s">
        <v>130</v>
      </c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9"/>
    </row>
    <row r="8" spans="1:22" ht="30" customHeight="1">
      <c r="B8" s="37"/>
      <c r="C8" s="39"/>
      <c r="H8" s="825"/>
      <c r="I8" s="892"/>
      <c r="J8" s="703"/>
      <c r="K8" s="704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5"/>
    </row>
    <row r="9" spans="1:22" s="77" customFormat="1" ht="30" customHeight="1">
      <c r="A9" s="892"/>
      <c r="B9" s="824"/>
      <c r="C9" s="21" t="s">
        <v>59</v>
      </c>
      <c r="D9" s="122" t="str">
        <f>Entidad</f>
        <v>Fundación Canaria TENERIFE RURAL</v>
      </c>
      <c r="E9" s="122"/>
      <c r="F9" s="122"/>
      <c r="G9" s="122"/>
      <c r="H9" s="825"/>
      <c r="I9" s="892"/>
      <c r="J9" s="706"/>
      <c r="K9" s="707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8"/>
    </row>
    <row r="10" spans="1:22" ht="7.2" customHeight="1">
      <c r="B10" s="37"/>
      <c r="H10" s="825"/>
      <c r="J10" s="706"/>
      <c r="K10" s="707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8"/>
    </row>
    <row r="11" spans="1:22" s="45" customFormat="1" ht="30" customHeight="1">
      <c r="B11" s="41"/>
      <c r="C11" s="42" t="s">
        <v>335</v>
      </c>
      <c r="D11" s="42"/>
      <c r="E11" s="43"/>
      <c r="F11" s="43"/>
      <c r="G11" s="43"/>
      <c r="H11" s="825"/>
      <c r="J11" s="706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8"/>
    </row>
    <row r="12" spans="1:22" s="45" customFormat="1" ht="30" customHeight="1">
      <c r="B12" s="41"/>
      <c r="C12" s="1184"/>
      <c r="D12" s="1184"/>
      <c r="E12" s="30"/>
      <c r="F12" s="30"/>
      <c r="G12" s="30"/>
      <c r="H12" s="825"/>
      <c r="J12" s="706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8"/>
    </row>
    <row r="13" spans="1:22" s="45" customFormat="1" ht="30" customHeight="1">
      <c r="B13" s="41"/>
      <c r="D13" s="8"/>
      <c r="E13" s="30"/>
      <c r="F13" s="30"/>
      <c r="G13" s="30"/>
      <c r="H13" s="825"/>
      <c r="J13" s="709"/>
      <c r="K13" s="710"/>
      <c r="L13" s="710"/>
      <c r="M13" s="710"/>
      <c r="N13" s="710"/>
      <c r="O13" s="710"/>
      <c r="P13" s="710"/>
      <c r="Q13" s="710"/>
      <c r="R13" s="710"/>
      <c r="S13" s="710"/>
      <c r="T13" s="710"/>
      <c r="U13" s="710"/>
      <c r="V13" s="711"/>
    </row>
    <row r="14" spans="1:22" s="206" customFormat="1" ht="22.95" customHeight="1">
      <c r="B14" s="46"/>
      <c r="C14" s="1185" t="s">
        <v>336</v>
      </c>
      <c r="D14" s="1186"/>
      <c r="E14" s="1195" t="str">
        <f>"Previsión "&amp;ejercicio</f>
        <v>Previsión 2025</v>
      </c>
      <c r="F14" s="1196"/>
      <c r="G14" s="1197"/>
      <c r="H14" s="825"/>
      <c r="J14" s="709"/>
      <c r="K14" s="710"/>
      <c r="L14" s="710"/>
      <c r="M14" s="710"/>
      <c r="N14" s="710"/>
      <c r="O14" s="710"/>
      <c r="P14" s="710"/>
      <c r="Q14" s="710"/>
      <c r="R14" s="710"/>
      <c r="S14" s="710"/>
      <c r="T14" s="710"/>
      <c r="U14" s="710"/>
      <c r="V14" s="711"/>
    </row>
    <row r="15" spans="1:22" s="211" customFormat="1" ht="22.95" customHeight="1">
      <c r="B15" s="207"/>
      <c r="C15" s="1187"/>
      <c r="D15" s="1188"/>
      <c r="E15" s="210" t="s">
        <v>337</v>
      </c>
      <c r="F15" s="210" t="s">
        <v>338</v>
      </c>
      <c r="G15" s="210" t="s">
        <v>196</v>
      </c>
      <c r="H15" s="825"/>
      <c r="J15" s="709"/>
      <c r="K15" s="710"/>
      <c r="L15" s="710"/>
      <c r="M15" s="710"/>
      <c r="N15" s="710"/>
      <c r="O15" s="710"/>
      <c r="P15" s="710"/>
      <c r="Q15" s="710"/>
      <c r="R15" s="710"/>
      <c r="S15" s="710"/>
      <c r="T15" s="710"/>
      <c r="U15" s="710"/>
      <c r="V15" s="711"/>
    </row>
    <row r="16" spans="1:22" s="215" customFormat="1" ht="22.95" customHeight="1">
      <c r="B16" s="141"/>
      <c r="C16" s="212" t="s">
        <v>339</v>
      </c>
      <c r="D16" s="213"/>
      <c r="E16" s="80">
        <f>SUM(E17:E19)</f>
        <v>762534.33</v>
      </c>
      <c r="F16" s="80">
        <f>SUM(F17:F19)</f>
        <v>0</v>
      </c>
      <c r="G16" s="214"/>
      <c r="H16" s="825"/>
      <c r="J16" s="709"/>
      <c r="K16" s="710"/>
      <c r="L16" s="710"/>
      <c r="M16" s="710"/>
      <c r="N16" s="710"/>
      <c r="O16" s="710"/>
      <c r="P16" s="710"/>
      <c r="Q16" s="710"/>
      <c r="R16" s="710"/>
      <c r="S16" s="710"/>
      <c r="T16" s="710"/>
      <c r="U16" s="710"/>
      <c r="V16" s="711"/>
    </row>
    <row r="17" spans="1:22" s="215" customFormat="1" ht="19.95" customHeight="1">
      <c r="B17" s="141"/>
      <c r="C17" s="275"/>
      <c r="D17" s="276" t="s">
        <v>340</v>
      </c>
      <c r="E17" s="335"/>
      <c r="F17" s="185"/>
      <c r="G17" s="277"/>
      <c r="H17" s="142"/>
      <c r="J17" s="709"/>
      <c r="K17" s="710"/>
      <c r="L17" s="710"/>
      <c r="M17" s="710"/>
      <c r="N17" s="710"/>
      <c r="O17" s="710"/>
      <c r="P17" s="710"/>
      <c r="Q17" s="710"/>
      <c r="R17" s="710"/>
      <c r="S17" s="710"/>
      <c r="T17" s="710"/>
      <c r="U17" s="710"/>
      <c r="V17" s="711"/>
    </row>
    <row r="18" spans="1:22" s="215" customFormat="1" ht="19.95" customHeight="1">
      <c r="B18" s="141"/>
      <c r="C18" s="600"/>
      <c r="D18" s="280" t="s">
        <v>341</v>
      </c>
      <c r="E18" s="661"/>
      <c r="F18" s="661"/>
      <c r="G18" s="650"/>
      <c r="H18" s="142"/>
      <c r="J18" s="709"/>
      <c r="K18" s="710"/>
      <c r="L18" s="710"/>
      <c r="M18" s="710"/>
      <c r="N18" s="710"/>
      <c r="O18" s="710"/>
      <c r="P18" s="710"/>
      <c r="Q18" s="710"/>
      <c r="R18" s="710"/>
      <c r="S18" s="710"/>
      <c r="T18" s="710"/>
      <c r="U18" s="710"/>
      <c r="V18" s="711"/>
    </row>
    <row r="19" spans="1:22" s="215" customFormat="1" ht="22.95" customHeight="1">
      <c r="B19" s="141"/>
      <c r="C19" s="603"/>
      <c r="D19" s="1123" t="s">
        <v>342</v>
      </c>
      <c r="E19" s="930">
        <v>762534.33</v>
      </c>
      <c r="F19" s="930"/>
      <c r="G19" s="651"/>
      <c r="H19" s="142"/>
      <c r="J19" s="709"/>
      <c r="K19" s="710"/>
      <c r="L19" s="710"/>
      <c r="M19" s="710"/>
      <c r="N19" s="710"/>
      <c r="O19" s="710"/>
      <c r="P19" s="710"/>
      <c r="Q19" s="710"/>
      <c r="R19" s="710"/>
      <c r="S19" s="710"/>
      <c r="T19" s="710"/>
      <c r="U19" s="710"/>
      <c r="V19" s="711"/>
    </row>
    <row r="20" spans="1:22" s="215" customFormat="1" ht="19.95" customHeight="1">
      <c r="B20" s="141"/>
      <c r="C20" s="212" t="s">
        <v>343</v>
      </c>
      <c r="D20" s="213"/>
      <c r="E20" s="80">
        <f>+E21+E26+E31</f>
        <v>9616.2000000000007</v>
      </c>
      <c r="F20" s="80">
        <f>+F21+F26+F31</f>
        <v>0</v>
      </c>
      <c r="G20" s="214"/>
      <c r="H20" s="825"/>
      <c r="J20" s="709"/>
      <c r="K20" s="710"/>
      <c r="L20" s="710"/>
      <c r="M20" s="710"/>
      <c r="N20" s="710"/>
      <c r="O20" s="710"/>
      <c r="P20" s="710"/>
      <c r="Q20" s="710"/>
      <c r="R20" s="710"/>
      <c r="S20" s="710"/>
      <c r="T20" s="710"/>
      <c r="U20" s="710"/>
      <c r="V20" s="711"/>
    </row>
    <row r="21" spans="1:22" s="95" customFormat="1" ht="19.95" customHeight="1">
      <c r="A21" s="599"/>
      <c r="B21" s="141"/>
      <c r="C21" s="275"/>
      <c r="D21" s="276" t="s">
        <v>344</v>
      </c>
      <c r="E21" s="68">
        <f>SUM(E22:E25)</f>
        <v>0</v>
      </c>
      <c r="F21" s="68">
        <f>SUM(F22:F25)</f>
        <v>0</v>
      </c>
      <c r="G21" s="278"/>
      <c r="H21" s="142"/>
      <c r="I21" s="599"/>
      <c r="J21" s="709"/>
      <c r="K21" s="710"/>
      <c r="L21" s="710"/>
      <c r="M21" s="710"/>
      <c r="N21" s="710"/>
      <c r="O21" s="710"/>
      <c r="P21" s="710"/>
      <c r="Q21" s="710"/>
      <c r="R21" s="710"/>
      <c r="S21" s="710"/>
      <c r="T21" s="710"/>
      <c r="U21" s="710"/>
      <c r="V21" s="711"/>
    </row>
    <row r="22" spans="1:22" s="95" customFormat="1" ht="19.95" customHeight="1">
      <c r="A22" s="599"/>
      <c r="B22" s="824"/>
      <c r="C22" s="600"/>
      <c r="D22" s="601"/>
      <c r="E22" s="661"/>
      <c r="F22" s="661"/>
      <c r="G22" s="650"/>
      <c r="H22" s="825"/>
      <c r="I22" s="599"/>
      <c r="J22" s="709"/>
      <c r="K22" s="710"/>
      <c r="L22" s="710"/>
      <c r="M22" s="710"/>
      <c r="N22" s="710"/>
      <c r="O22" s="710"/>
      <c r="P22" s="710"/>
      <c r="Q22" s="710"/>
      <c r="R22" s="710"/>
      <c r="S22" s="710"/>
      <c r="T22" s="710"/>
      <c r="U22" s="710"/>
      <c r="V22" s="711"/>
    </row>
    <row r="23" spans="1:22" s="95" customFormat="1" ht="19.95" customHeight="1">
      <c r="A23" s="599"/>
      <c r="B23" s="824"/>
      <c r="C23" s="600"/>
      <c r="D23" s="601"/>
      <c r="E23" s="661"/>
      <c r="F23" s="661"/>
      <c r="G23" s="650"/>
      <c r="H23" s="825"/>
      <c r="I23" s="599"/>
      <c r="J23" s="709"/>
      <c r="K23" s="710"/>
      <c r="L23" s="710"/>
      <c r="M23" s="710"/>
      <c r="N23" s="710"/>
      <c r="O23" s="710"/>
      <c r="P23" s="710"/>
      <c r="Q23" s="710"/>
      <c r="R23" s="710"/>
      <c r="S23" s="710"/>
      <c r="T23" s="710"/>
      <c r="U23" s="710"/>
      <c r="V23" s="711"/>
    </row>
    <row r="24" spans="1:22" s="95" customFormat="1" ht="19.95" customHeight="1">
      <c r="A24" s="599"/>
      <c r="B24" s="824"/>
      <c r="C24" s="600"/>
      <c r="D24" s="601"/>
      <c r="E24" s="661"/>
      <c r="F24" s="661"/>
      <c r="G24" s="650"/>
      <c r="H24" s="825"/>
      <c r="I24" s="599"/>
      <c r="J24" s="709"/>
      <c r="K24" s="710"/>
      <c r="L24" s="710"/>
      <c r="M24" s="710"/>
      <c r="N24" s="710"/>
      <c r="O24" s="710"/>
      <c r="P24" s="710"/>
      <c r="Q24" s="710"/>
      <c r="R24" s="710"/>
      <c r="S24" s="710"/>
      <c r="T24" s="710"/>
      <c r="U24" s="710"/>
      <c r="V24" s="711"/>
    </row>
    <row r="25" spans="1:22" s="215" customFormat="1" ht="19.95" customHeight="1">
      <c r="B25" s="824"/>
      <c r="C25" s="600"/>
      <c r="D25" s="601"/>
      <c r="E25" s="661"/>
      <c r="F25" s="661"/>
      <c r="G25" s="650"/>
      <c r="H25" s="825"/>
      <c r="J25" s="709"/>
      <c r="K25" s="710"/>
      <c r="L25" s="710"/>
      <c r="M25" s="710"/>
      <c r="N25" s="710"/>
      <c r="O25" s="710"/>
      <c r="P25" s="710"/>
      <c r="Q25" s="710"/>
      <c r="R25" s="710"/>
      <c r="S25" s="710"/>
      <c r="T25" s="710"/>
      <c r="U25" s="710"/>
      <c r="V25" s="711"/>
    </row>
    <row r="26" spans="1:22" s="95" customFormat="1" ht="19.95" customHeight="1">
      <c r="A26" s="599"/>
      <c r="B26" s="141"/>
      <c r="C26" s="279"/>
      <c r="D26" s="280" t="s">
        <v>345</v>
      </c>
      <c r="E26" s="70">
        <f>SUM(E27:E30)</f>
        <v>9616.2000000000007</v>
      </c>
      <c r="F26" s="70">
        <f>SUM(F27:F30)</f>
        <v>0</v>
      </c>
      <c r="G26" s="281"/>
      <c r="H26" s="142"/>
      <c r="I26" s="599"/>
      <c r="J26" s="709"/>
      <c r="K26" s="710"/>
      <c r="L26" s="710"/>
      <c r="M26" s="710"/>
      <c r="N26" s="710"/>
      <c r="O26" s="710"/>
      <c r="P26" s="710"/>
      <c r="Q26" s="710"/>
      <c r="R26" s="710"/>
      <c r="S26" s="710"/>
      <c r="T26" s="710"/>
      <c r="U26" s="710"/>
      <c r="V26" s="711"/>
    </row>
    <row r="27" spans="1:22" s="95" customFormat="1" ht="19.95" customHeight="1">
      <c r="A27" s="599"/>
      <c r="B27" s="824"/>
      <c r="C27" s="600"/>
      <c r="D27" s="601" t="s">
        <v>346</v>
      </c>
      <c r="E27" s="661">
        <v>4808.1000000000004</v>
      </c>
      <c r="F27" s="661"/>
      <c r="G27" s="650"/>
      <c r="H27" s="825"/>
      <c r="I27" s="599"/>
      <c r="J27" s="709"/>
      <c r="K27" s="710"/>
      <c r="L27" s="710"/>
      <c r="M27" s="710"/>
      <c r="N27" s="710"/>
      <c r="O27" s="710"/>
      <c r="P27" s="710"/>
      <c r="Q27" s="710"/>
      <c r="R27" s="710"/>
      <c r="S27" s="710"/>
      <c r="T27" s="710"/>
      <c r="U27" s="710"/>
      <c r="V27" s="711"/>
    </row>
    <row r="28" spans="1:22" s="95" customFormat="1" ht="19.95" customHeight="1">
      <c r="A28" s="599"/>
      <c r="B28" s="824"/>
      <c r="C28" s="600"/>
      <c r="D28" s="601" t="s">
        <v>347</v>
      </c>
      <c r="E28" s="661">
        <v>4808.1000000000004</v>
      </c>
      <c r="F28" s="661"/>
      <c r="G28" s="650"/>
      <c r="H28" s="825"/>
      <c r="I28" s="599"/>
      <c r="J28" s="709"/>
      <c r="K28" s="710"/>
      <c r="L28" s="710"/>
      <c r="M28" s="710"/>
      <c r="N28" s="710"/>
      <c r="O28" s="710"/>
      <c r="P28" s="710"/>
      <c r="Q28" s="710"/>
      <c r="R28" s="710"/>
      <c r="S28" s="710"/>
      <c r="T28" s="710"/>
      <c r="U28" s="710"/>
      <c r="V28" s="711"/>
    </row>
    <row r="29" spans="1:22" s="95" customFormat="1" ht="19.95" customHeight="1">
      <c r="A29" s="599"/>
      <c r="B29" s="824"/>
      <c r="C29" s="600"/>
      <c r="D29" s="601"/>
      <c r="E29" s="661"/>
      <c r="F29" s="661"/>
      <c r="G29" s="650"/>
      <c r="H29" s="825"/>
      <c r="I29" s="599"/>
      <c r="J29" s="709"/>
      <c r="K29" s="710"/>
      <c r="L29" s="710"/>
      <c r="M29" s="710"/>
      <c r="N29" s="710"/>
      <c r="O29" s="710"/>
      <c r="P29" s="710"/>
      <c r="Q29" s="710"/>
      <c r="R29" s="710"/>
      <c r="S29" s="710"/>
      <c r="T29" s="710"/>
      <c r="U29" s="710"/>
      <c r="V29" s="711"/>
    </row>
    <row r="30" spans="1:22" s="95" customFormat="1" ht="19.95" customHeight="1">
      <c r="A30" s="599"/>
      <c r="B30" s="824"/>
      <c r="C30" s="931"/>
      <c r="D30" s="932"/>
      <c r="E30" s="666"/>
      <c r="F30" s="666"/>
      <c r="G30" s="933"/>
      <c r="H30" s="825"/>
      <c r="I30" s="599"/>
      <c r="J30" s="709"/>
      <c r="K30" s="710"/>
      <c r="L30" s="710"/>
      <c r="M30" s="710"/>
      <c r="N30" s="710"/>
      <c r="O30" s="710"/>
      <c r="P30" s="710"/>
      <c r="Q30" s="710"/>
      <c r="R30" s="710"/>
      <c r="S30" s="710"/>
      <c r="T30" s="710"/>
      <c r="U30" s="710"/>
      <c r="V30" s="711"/>
    </row>
    <row r="31" spans="1:22" s="215" customFormat="1" ht="22.95" customHeight="1">
      <c r="B31" s="824"/>
      <c r="C31" s="603"/>
      <c r="D31" s="861" t="s">
        <v>348</v>
      </c>
      <c r="E31" s="187">
        <v>0</v>
      </c>
      <c r="F31" s="187">
        <v>0</v>
      </c>
      <c r="G31" s="651"/>
      <c r="H31" s="825"/>
      <c r="J31" s="709"/>
      <c r="K31" s="710"/>
      <c r="L31" s="710"/>
      <c r="M31" s="710"/>
      <c r="N31" s="710"/>
      <c r="O31" s="710"/>
      <c r="P31" s="710"/>
      <c r="Q31" s="710"/>
      <c r="R31" s="710"/>
      <c r="S31" s="710"/>
      <c r="T31" s="710"/>
      <c r="U31" s="710"/>
      <c r="V31" s="711"/>
    </row>
    <row r="32" spans="1:22" s="222" customFormat="1" ht="19.2" customHeight="1">
      <c r="B32" s="141"/>
      <c r="C32" s="212" t="s">
        <v>349</v>
      </c>
      <c r="D32" s="213"/>
      <c r="E32" s="80">
        <f>+E33+E43</f>
        <v>515732.63</v>
      </c>
      <c r="F32" s="80">
        <f>+F33+F43</f>
        <v>0</v>
      </c>
      <c r="G32" s="214"/>
      <c r="H32" s="825"/>
      <c r="J32" s="709"/>
      <c r="K32" s="710"/>
      <c r="L32" s="710"/>
      <c r="M32" s="710"/>
      <c r="N32" s="710"/>
      <c r="O32" s="710"/>
      <c r="P32" s="710"/>
      <c r="Q32" s="710"/>
      <c r="R32" s="710"/>
      <c r="S32" s="710"/>
      <c r="T32" s="710"/>
      <c r="U32" s="710"/>
      <c r="V32" s="711"/>
    </row>
    <row r="33" spans="1:28" s="215" customFormat="1" ht="19.2" customHeight="1">
      <c r="B33" s="216"/>
      <c r="C33" s="217" t="s">
        <v>350</v>
      </c>
      <c r="D33" s="218"/>
      <c r="E33" s="219">
        <f>E34+E38+E42</f>
        <v>0</v>
      </c>
      <c r="F33" s="219">
        <f>F34+F38+F42</f>
        <v>0</v>
      </c>
      <c r="G33" s="220"/>
      <c r="H33" s="221"/>
      <c r="J33" s="709"/>
      <c r="K33" s="710"/>
      <c r="L33" s="710"/>
      <c r="M33" s="710"/>
      <c r="N33" s="710"/>
      <c r="O33" s="710"/>
      <c r="P33" s="710"/>
      <c r="Q33" s="710"/>
      <c r="R33" s="710"/>
      <c r="S33" s="710"/>
      <c r="T33" s="710"/>
      <c r="U33" s="710"/>
      <c r="V33" s="711"/>
    </row>
    <row r="34" spans="1:28" s="95" customFormat="1" ht="19.2" customHeight="1">
      <c r="A34" s="599"/>
      <c r="B34" s="141"/>
      <c r="C34" s="275"/>
      <c r="D34" s="276" t="s">
        <v>351</v>
      </c>
      <c r="E34" s="68">
        <f>SUM(E35:E37)</f>
        <v>0</v>
      </c>
      <c r="F34" s="68">
        <f>SUM(F35:F37)</f>
        <v>0</v>
      </c>
      <c r="G34" s="278"/>
      <c r="H34" s="142"/>
      <c r="I34" s="599"/>
      <c r="J34" s="709"/>
      <c r="K34" s="710"/>
      <c r="L34" s="710"/>
      <c r="M34" s="710"/>
      <c r="N34" s="710"/>
      <c r="O34" s="710"/>
      <c r="P34" s="710"/>
      <c r="Q34" s="710"/>
      <c r="R34" s="710"/>
      <c r="S34" s="710"/>
      <c r="T34" s="710"/>
      <c r="U34" s="710"/>
      <c r="V34" s="711"/>
      <c r="W34" s="599"/>
      <c r="X34" s="599"/>
      <c r="Y34" s="599"/>
      <c r="Z34" s="599"/>
      <c r="AA34" s="599"/>
      <c r="AB34" s="599"/>
    </row>
    <row r="35" spans="1:28" s="95" customFormat="1" ht="19.2" customHeight="1">
      <c r="A35" s="599"/>
      <c r="B35" s="824"/>
      <c r="C35" s="346"/>
      <c r="D35" s="934"/>
      <c r="E35" s="935"/>
      <c r="F35" s="935"/>
      <c r="G35" s="936"/>
      <c r="H35" s="825"/>
      <c r="I35" s="599"/>
      <c r="J35" s="709"/>
      <c r="K35" s="710"/>
      <c r="L35" s="710"/>
      <c r="M35" s="710"/>
      <c r="N35" s="710"/>
      <c r="O35" s="710"/>
      <c r="P35" s="710"/>
      <c r="Q35" s="710"/>
      <c r="R35" s="710"/>
      <c r="S35" s="710"/>
      <c r="T35" s="710"/>
      <c r="U35" s="710"/>
      <c r="V35" s="711"/>
      <c r="W35" s="599"/>
      <c r="X35" s="599"/>
      <c r="Y35" s="599"/>
      <c r="Z35" s="599"/>
      <c r="AA35" s="599"/>
      <c r="AB35" s="599"/>
    </row>
    <row r="36" spans="1:28" s="95" customFormat="1" ht="19.2" customHeight="1">
      <c r="A36" s="599"/>
      <c r="B36" s="824"/>
      <c r="C36" s="346"/>
      <c r="D36" s="934"/>
      <c r="E36" s="935"/>
      <c r="F36" s="935"/>
      <c r="G36" s="936"/>
      <c r="H36" s="825"/>
      <c r="I36" s="599"/>
      <c r="J36" s="709"/>
      <c r="K36" s="710"/>
      <c r="L36" s="710"/>
      <c r="M36" s="710"/>
      <c r="N36" s="710"/>
      <c r="O36" s="710"/>
      <c r="P36" s="710"/>
      <c r="Q36" s="710"/>
      <c r="R36" s="710"/>
      <c r="S36" s="710"/>
      <c r="T36" s="710"/>
      <c r="U36" s="710"/>
      <c r="V36" s="711"/>
      <c r="W36" s="599"/>
      <c r="X36" s="599"/>
      <c r="Y36" s="599"/>
      <c r="Z36" s="599"/>
      <c r="AA36" s="599"/>
      <c r="AB36" s="599"/>
    </row>
    <row r="37" spans="1:28" s="215" customFormat="1" ht="19.2" customHeight="1">
      <c r="B37" s="824"/>
      <c r="C37" s="346"/>
      <c r="D37" s="934"/>
      <c r="E37" s="935"/>
      <c r="F37" s="935"/>
      <c r="G37" s="936"/>
      <c r="H37" s="825"/>
      <c r="J37" s="709"/>
      <c r="K37" s="710"/>
      <c r="L37" s="710"/>
      <c r="M37" s="710"/>
      <c r="N37" s="710"/>
      <c r="O37" s="710"/>
      <c r="P37" s="710"/>
      <c r="Q37" s="710"/>
      <c r="R37" s="710"/>
      <c r="S37" s="710"/>
      <c r="T37" s="710"/>
      <c r="U37" s="710"/>
      <c r="V37" s="711"/>
    </row>
    <row r="38" spans="1:28" s="95" customFormat="1" ht="19.2" customHeight="1">
      <c r="A38" s="599"/>
      <c r="B38" s="141"/>
      <c r="C38" s="275"/>
      <c r="D38" s="276" t="s">
        <v>352</v>
      </c>
      <c r="E38" s="68">
        <f>SUM(E39:E41)</f>
        <v>0</v>
      </c>
      <c r="F38" s="68">
        <f>SUM(F39:F41)</f>
        <v>0</v>
      </c>
      <c r="G38" s="278"/>
      <c r="H38" s="142"/>
      <c r="I38" s="599"/>
      <c r="J38" s="709"/>
      <c r="K38" s="710"/>
      <c r="L38" s="710"/>
      <c r="M38" s="710"/>
      <c r="N38" s="710"/>
      <c r="O38" s="710"/>
      <c r="P38" s="710"/>
      <c r="Q38" s="710"/>
      <c r="R38" s="710"/>
      <c r="S38" s="710"/>
      <c r="T38" s="710"/>
      <c r="U38" s="710"/>
      <c r="V38" s="711"/>
      <c r="W38" s="599"/>
      <c r="X38" s="599"/>
      <c r="Y38" s="599"/>
      <c r="Z38" s="599"/>
      <c r="AA38" s="599"/>
      <c r="AB38" s="599"/>
    </row>
    <row r="39" spans="1:28" s="95" customFormat="1" ht="19.2" customHeight="1">
      <c r="A39" s="599"/>
      <c r="B39" s="824"/>
      <c r="C39" s="346"/>
      <c r="D39" s="934"/>
      <c r="E39" s="935"/>
      <c r="F39" s="935"/>
      <c r="G39" s="936"/>
      <c r="H39" s="825"/>
      <c r="I39" s="599"/>
      <c r="J39" s="709"/>
      <c r="K39" s="710"/>
      <c r="L39" s="710"/>
      <c r="M39" s="710"/>
      <c r="N39" s="710"/>
      <c r="O39" s="710"/>
      <c r="P39" s="710"/>
      <c r="Q39" s="710"/>
      <c r="R39" s="710"/>
      <c r="S39" s="710"/>
      <c r="T39" s="710"/>
      <c r="U39" s="710"/>
      <c r="V39" s="711"/>
      <c r="W39" s="599"/>
      <c r="X39" s="599"/>
      <c r="Y39" s="599"/>
      <c r="Z39" s="599"/>
      <c r="AA39" s="599"/>
      <c r="AB39" s="599"/>
    </row>
    <row r="40" spans="1:28" s="95" customFormat="1" ht="19.2" customHeight="1">
      <c r="A40" s="599"/>
      <c r="B40" s="824"/>
      <c r="C40" s="346"/>
      <c r="D40" s="934"/>
      <c r="E40" s="935"/>
      <c r="F40" s="935"/>
      <c r="G40" s="936"/>
      <c r="H40" s="825"/>
      <c r="I40" s="599"/>
      <c r="J40" s="709"/>
      <c r="K40" s="710"/>
      <c r="L40" s="710"/>
      <c r="M40" s="710"/>
      <c r="N40" s="710"/>
      <c r="O40" s="710"/>
      <c r="P40" s="710"/>
      <c r="Q40" s="710"/>
      <c r="R40" s="710"/>
      <c r="S40" s="710"/>
      <c r="T40" s="710"/>
      <c r="U40" s="710"/>
      <c r="V40" s="711"/>
      <c r="W40" s="599"/>
      <c r="X40" s="599"/>
      <c r="Y40" s="599"/>
      <c r="Z40" s="599"/>
      <c r="AA40" s="599"/>
      <c r="AB40" s="599"/>
    </row>
    <row r="41" spans="1:28" s="222" customFormat="1" ht="19.2" customHeight="1">
      <c r="B41" s="824"/>
      <c r="C41" s="346"/>
      <c r="D41" s="934"/>
      <c r="E41" s="935"/>
      <c r="F41" s="935"/>
      <c r="G41" s="936"/>
      <c r="H41" s="825"/>
      <c r="J41" s="709"/>
      <c r="K41" s="710"/>
      <c r="L41" s="710"/>
      <c r="M41" s="710"/>
      <c r="N41" s="710"/>
      <c r="O41" s="710"/>
      <c r="P41" s="710"/>
      <c r="Q41" s="710"/>
      <c r="R41" s="710"/>
      <c r="S41" s="710"/>
      <c r="T41" s="710"/>
      <c r="U41" s="710"/>
      <c r="V41" s="711"/>
    </row>
    <row r="42" spans="1:28" s="222" customFormat="1" ht="19.2" customHeight="1">
      <c r="B42" s="824"/>
      <c r="C42" s="346"/>
      <c r="D42" s="276" t="s">
        <v>353</v>
      </c>
      <c r="E42" s="185"/>
      <c r="F42" s="185">
        <v>0</v>
      </c>
      <c r="G42" s="936"/>
      <c r="H42" s="825"/>
      <c r="J42" s="709"/>
      <c r="K42" s="710"/>
      <c r="L42" s="710"/>
      <c r="M42" s="710"/>
      <c r="N42" s="710"/>
      <c r="O42" s="710"/>
      <c r="P42" s="710"/>
      <c r="Q42" s="710"/>
      <c r="R42" s="710"/>
      <c r="S42" s="710"/>
      <c r="T42" s="710"/>
      <c r="U42" s="710"/>
      <c r="V42" s="711"/>
    </row>
    <row r="43" spans="1:28" s="215" customFormat="1" ht="19.2" customHeight="1">
      <c r="B43" s="216"/>
      <c r="C43" s="217" t="s">
        <v>354</v>
      </c>
      <c r="D43" s="218"/>
      <c r="E43" s="219">
        <f>+E44+E45+E46</f>
        <v>515732.63</v>
      </c>
      <c r="F43" s="219">
        <f>+F44+F45+F46</f>
        <v>0</v>
      </c>
      <c r="G43" s="220"/>
      <c r="H43" s="221"/>
      <c r="J43" s="709"/>
      <c r="K43" s="710"/>
      <c r="L43" s="710"/>
      <c r="M43" s="710"/>
      <c r="N43" s="710"/>
      <c r="O43" s="710"/>
      <c r="P43" s="710"/>
      <c r="Q43" s="710"/>
      <c r="R43" s="710"/>
      <c r="S43" s="710"/>
      <c r="T43" s="710"/>
      <c r="U43" s="710"/>
      <c r="V43" s="711"/>
    </row>
    <row r="44" spans="1:28" s="215" customFormat="1" ht="19.2" customHeight="1">
      <c r="B44" s="141"/>
      <c r="C44" s="275"/>
      <c r="D44" s="276" t="s">
        <v>355</v>
      </c>
      <c r="E44" s="185">
        <v>304000</v>
      </c>
      <c r="F44" s="185"/>
      <c r="G44" s="277"/>
      <c r="H44" s="142"/>
      <c r="J44" s="709"/>
      <c r="K44" s="710"/>
      <c r="L44" s="710"/>
      <c r="M44" s="710"/>
      <c r="N44" s="710"/>
      <c r="O44" s="710"/>
      <c r="P44" s="710"/>
      <c r="Q44" s="710"/>
      <c r="R44" s="710"/>
      <c r="S44" s="710"/>
      <c r="T44" s="710"/>
      <c r="U44" s="710"/>
      <c r="V44" s="711"/>
    </row>
    <row r="45" spans="1:28" s="215" customFormat="1" ht="22.95" customHeight="1">
      <c r="B45" s="141"/>
      <c r="C45" s="282"/>
      <c r="D45" s="283" t="s">
        <v>356</v>
      </c>
      <c r="E45" s="284">
        <f>178700+42648.83-9616.2</f>
        <v>211732.63</v>
      </c>
      <c r="F45" s="284"/>
      <c r="G45" s="285"/>
      <c r="H45" s="142"/>
      <c r="J45" s="709"/>
      <c r="K45" s="710"/>
      <c r="L45" s="710"/>
      <c r="M45" s="710"/>
      <c r="N45" s="710"/>
      <c r="O45" s="710"/>
      <c r="P45" s="710"/>
      <c r="Q45" s="710"/>
      <c r="R45" s="710"/>
      <c r="S45" s="710"/>
      <c r="T45" s="710"/>
      <c r="U45" s="710"/>
      <c r="V45" s="711"/>
    </row>
    <row r="46" spans="1:28" s="215" customFormat="1" ht="22.95" customHeight="1">
      <c r="B46" s="141"/>
      <c r="C46" s="282"/>
      <c r="D46" s="283" t="s">
        <v>357</v>
      </c>
      <c r="E46" s="284"/>
      <c r="F46" s="284"/>
      <c r="G46" s="285"/>
      <c r="H46" s="142"/>
      <c r="J46" s="709"/>
      <c r="K46" s="710"/>
      <c r="L46" s="710"/>
      <c r="M46" s="710"/>
      <c r="N46" s="710"/>
      <c r="O46" s="710"/>
      <c r="P46" s="710"/>
      <c r="Q46" s="710"/>
      <c r="R46" s="710"/>
      <c r="S46" s="710"/>
      <c r="T46" s="710"/>
      <c r="U46" s="710"/>
      <c r="V46" s="711"/>
    </row>
    <row r="47" spans="1:28" s="95" customFormat="1" ht="39" customHeight="1" thickBot="1">
      <c r="A47" s="599"/>
      <c r="B47" s="141"/>
      <c r="C47" s="1189" t="s">
        <v>358</v>
      </c>
      <c r="D47" s="1190"/>
      <c r="E47" s="69">
        <f>E16+E20+E32</f>
        <v>1287883.1599999999</v>
      </c>
      <c r="F47" s="69">
        <f>F16+F20+F32</f>
        <v>0</v>
      </c>
      <c r="G47" s="226"/>
      <c r="H47" s="142"/>
      <c r="I47" s="599"/>
      <c r="J47" s="709"/>
      <c r="K47" s="710"/>
      <c r="L47" s="710"/>
      <c r="M47" s="710"/>
      <c r="N47" s="710"/>
      <c r="O47" s="710"/>
      <c r="P47" s="710"/>
      <c r="Q47" s="710"/>
      <c r="R47" s="710"/>
      <c r="S47" s="710"/>
      <c r="T47" s="710"/>
      <c r="U47" s="710"/>
      <c r="V47" s="711"/>
      <c r="W47" s="599"/>
      <c r="X47" s="599"/>
      <c r="Y47" s="599"/>
      <c r="Z47" s="599"/>
      <c r="AA47" s="599"/>
      <c r="AB47" s="599"/>
    </row>
    <row r="48" spans="1:28" s="206" customFormat="1" ht="22.95" customHeight="1">
      <c r="B48" s="824"/>
      <c r="C48" s="318"/>
      <c r="D48" s="318"/>
      <c r="E48" s="359"/>
      <c r="F48" s="359"/>
      <c r="G48" s="359"/>
      <c r="H48" s="142"/>
      <c r="J48" s="709"/>
      <c r="K48" s="710"/>
      <c r="L48" s="710"/>
      <c r="M48" s="710"/>
      <c r="N48" s="710"/>
      <c r="O48" s="710"/>
      <c r="P48" s="710"/>
      <c r="Q48" s="710"/>
      <c r="R48" s="710"/>
      <c r="S48" s="710"/>
      <c r="T48" s="710"/>
      <c r="U48" s="710"/>
      <c r="V48" s="711"/>
      <c r="W48" s="599"/>
      <c r="X48" s="599"/>
      <c r="Y48" s="599"/>
      <c r="Z48" s="599"/>
      <c r="AA48" s="599"/>
      <c r="AB48" s="599"/>
    </row>
    <row r="49" spans="1:26" s="211" customFormat="1" ht="22.95" customHeight="1">
      <c r="B49" s="46"/>
      <c r="C49" s="204"/>
      <c r="D49" s="205"/>
      <c r="E49" s="227" t="s">
        <v>359</v>
      </c>
      <c r="F49" s="1170" t="s">
        <v>196</v>
      </c>
      <c r="G49" s="1171"/>
      <c r="H49" s="142"/>
      <c r="J49" s="709"/>
      <c r="K49" s="710"/>
      <c r="L49" s="710"/>
      <c r="M49" s="710"/>
      <c r="N49" s="710"/>
      <c r="O49" s="710"/>
      <c r="P49" s="710"/>
      <c r="Q49" s="710"/>
      <c r="R49" s="710"/>
      <c r="S49" s="710"/>
      <c r="T49" s="710"/>
      <c r="U49" s="710"/>
      <c r="V49" s="711"/>
      <c r="W49" s="206"/>
      <c r="X49" s="206"/>
      <c r="Y49" s="206"/>
      <c r="Z49" s="206"/>
    </row>
    <row r="50" spans="1:26" s="95" customFormat="1" ht="22.95" customHeight="1">
      <c r="A50" s="599"/>
      <c r="B50" s="207"/>
      <c r="C50" s="208" t="s">
        <v>360</v>
      </c>
      <c r="D50" s="209"/>
      <c r="E50" s="228">
        <f>ejercicio</f>
        <v>2025</v>
      </c>
      <c r="F50" s="1172"/>
      <c r="G50" s="1173"/>
      <c r="H50" s="142"/>
      <c r="I50" s="599"/>
      <c r="J50" s="709"/>
      <c r="K50" s="710"/>
      <c r="L50" s="710"/>
      <c r="M50" s="710"/>
      <c r="N50" s="710"/>
      <c r="O50" s="710"/>
      <c r="P50" s="710"/>
      <c r="Q50" s="710"/>
      <c r="R50" s="710"/>
      <c r="S50" s="710"/>
      <c r="T50" s="710"/>
      <c r="U50" s="710"/>
      <c r="V50" s="711"/>
      <c r="W50" s="211"/>
      <c r="X50" s="211"/>
      <c r="Y50" s="211"/>
      <c r="Z50" s="211"/>
    </row>
    <row r="51" spans="1:26" s="95" customFormat="1" ht="19.95" customHeight="1" thickBot="1">
      <c r="A51" s="599"/>
      <c r="B51" s="824"/>
      <c r="C51" s="223" t="s">
        <v>361</v>
      </c>
      <c r="D51" s="224"/>
      <c r="E51" s="69">
        <f t="shared" ref="E51" si="0">E52+E56</f>
        <v>0</v>
      </c>
      <c r="F51" s="1180"/>
      <c r="G51" s="1181"/>
      <c r="H51" s="142"/>
      <c r="I51" s="599"/>
      <c r="J51" s="709"/>
      <c r="K51" s="710"/>
      <c r="L51" s="710"/>
      <c r="M51" s="710"/>
      <c r="N51" s="710"/>
      <c r="O51" s="710"/>
      <c r="P51" s="710"/>
      <c r="Q51" s="710"/>
      <c r="R51" s="710"/>
      <c r="S51" s="710"/>
      <c r="T51" s="710"/>
      <c r="U51" s="710"/>
      <c r="V51" s="711"/>
      <c r="W51" s="599"/>
      <c r="X51" s="599"/>
      <c r="Y51" s="599"/>
      <c r="Z51" s="599"/>
    </row>
    <row r="52" spans="1:26" s="95" customFormat="1" ht="19.95" customHeight="1">
      <c r="A52" s="599"/>
      <c r="B52" s="824"/>
      <c r="C52" s="613" t="s">
        <v>362</v>
      </c>
      <c r="D52" s="614"/>
      <c r="E52" s="615">
        <f t="shared" ref="E52" si="1">SUM(E53:E55)</f>
        <v>0</v>
      </c>
      <c r="F52" s="1182"/>
      <c r="G52" s="1183"/>
      <c r="H52" s="142"/>
      <c r="I52" s="599"/>
      <c r="J52" s="709"/>
      <c r="K52" s="710"/>
      <c r="L52" s="710"/>
      <c r="M52" s="710"/>
      <c r="N52" s="710"/>
      <c r="O52" s="710"/>
      <c r="P52" s="710"/>
      <c r="Q52" s="710"/>
      <c r="R52" s="710"/>
      <c r="S52" s="710"/>
      <c r="T52" s="710"/>
      <c r="U52" s="710"/>
      <c r="V52" s="711"/>
      <c r="W52" s="599"/>
      <c r="X52" s="599"/>
      <c r="Y52" s="599"/>
      <c r="Z52" s="599"/>
    </row>
    <row r="53" spans="1:26" s="95" customFormat="1" ht="19.95" customHeight="1">
      <c r="A53" s="599"/>
      <c r="B53" s="824"/>
      <c r="C53" s="600"/>
      <c r="D53" s="601"/>
      <c r="E53" s="602"/>
      <c r="F53" s="1168"/>
      <c r="G53" s="1169"/>
      <c r="H53" s="142"/>
      <c r="I53" s="599"/>
      <c r="J53" s="709"/>
      <c r="K53" s="710"/>
      <c r="L53" s="710"/>
      <c r="M53" s="710"/>
      <c r="N53" s="710"/>
      <c r="O53" s="710"/>
      <c r="P53" s="710"/>
      <c r="Q53" s="710"/>
      <c r="R53" s="710"/>
      <c r="S53" s="710"/>
      <c r="T53" s="710"/>
      <c r="U53" s="710"/>
      <c r="V53" s="711"/>
      <c r="W53" s="599"/>
      <c r="X53" s="599"/>
      <c r="Y53" s="599"/>
      <c r="Z53" s="599"/>
    </row>
    <row r="54" spans="1:26" s="95" customFormat="1" ht="19.95" customHeight="1">
      <c r="A54" s="599"/>
      <c r="B54" s="824"/>
      <c r="C54" s="600"/>
      <c r="D54" s="601"/>
      <c r="E54" s="602"/>
      <c r="F54" s="1168"/>
      <c r="G54" s="1169"/>
      <c r="H54" s="142"/>
      <c r="I54" s="599"/>
      <c r="J54" s="709"/>
      <c r="K54" s="710"/>
      <c r="L54" s="710"/>
      <c r="M54" s="710"/>
      <c r="N54" s="710"/>
      <c r="O54" s="710"/>
      <c r="P54" s="710"/>
      <c r="Q54" s="710"/>
      <c r="R54" s="710"/>
      <c r="S54" s="710"/>
      <c r="T54" s="710"/>
      <c r="U54" s="710"/>
      <c r="V54" s="711"/>
      <c r="W54" s="599"/>
      <c r="X54" s="599"/>
      <c r="Y54" s="599"/>
      <c r="Z54" s="599"/>
    </row>
    <row r="55" spans="1:26" s="95" customFormat="1" ht="19.95" customHeight="1">
      <c r="A55" s="599"/>
      <c r="B55" s="824"/>
      <c r="C55" s="600"/>
      <c r="D55" s="601"/>
      <c r="E55" s="602"/>
      <c r="F55" s="1168"/>
      <c r="G55" s="1169"/>
      <c r="H55" s="142"/>
      <c r="I55" s="599"/>
      <c r="J55" s="709"/>
      <c r="K55" s="710"/>
      <c r="L55" s="710"/>
      <c r="M55" s="710"/>
      <c r="N55" s="710"/>
      <c r="O55" s="710"/>
      <c r="P55" s="710"/>
      <c r="Q55" s="710"/>
      <c r="R55" s="710"/>
      <c r="S55" s="710"/>
      <c r="T55" s="710"/>
      <c r="U55" s="710"/>
      <c r="V55" s="711"/>
      <c r="W55" s="599"/>
      <c r="X55" s="599"/>
      <c r="Y55" s="599"/>
      <c r="Z55" s="599"/>
    </row>
    <row r="56" spans="1:26" s="95" customFormat="1" ht="19.95" customHeight="1">
      <c r="A56" s="599"/>
      <c r="B56" s="824"/>
      <c r="C56" s="279" t="s">
        <v>363</v>
      </c>
      <c r="D56" s="616"/>
      <c r="E56" s="617">
        <f t="shared" ref="E56" si="2">SUM(E57:E59)</f>
        <v>0</v>
      </c>
      <c r="F56" s="1168"/>
      <c r="G56" s="1169"/>
      <c r="H56" s="142"/>
      <c r="I56" s="599"/>
      <c r="J56" s="709"/>
      <c r="K56" s="710"/>
      <c r="L56" s="710"/>
      <c r="M56" s="710"/>
      <c r="N56" s="710"/>
      <c r="O56" s="710"/>
      <c r="P56" s="710"/>
      <c r="Q56" s="710"/>
      <c r="R56" s="710"/>
      <c r="S56" s="710"/>
      <c r="T56" s="710"/>
      <c r="U56" s="710"/>
      <c r="V56" s="711"/>
      <c r="W56" s="599"/>
      <c r="X56" s="599"/>
      <c r="Y56" s="599"/>
      <c r="Z56" s="599"/>
    </row>
    <row r="57" spans="1:26" s="95" customFormat="1" ht="19.95" customHeight="1">
      <c r="A57" s="599"/>
      <c r="B57" s="824"/>
      <c r="C57" s="600"/>
      <c r="D57" s="601"/>
      <c r="E57" s="602"/>
      <c r="F57" s="1168"/>
      <c r="G57" s="1169"/>
      <c r="H57" s="142"/>
      <c r="I57" s="599"/>
      <c r="J57" s="709"/>
      <c r="K57" s="710"/>
      <c r="L57" s="710"/>
      <c r="M57" s="710"/>
      <c r="N57" s="710"/>
      <c r="O57" s="710"/>
      <c r="P57" s="710"/>
      <c r="Q57" s="710"/>
      <c r="R57" s="710"/>
      <c r="S57" s="710"/>
      <c r="T57" s="710"/>
      <c r="U57" s="710"/>
      <c r="V57" s="711"/>
      <c r="W57" s="599"/>
      <c r="X57" s="599"/>
      <c r="Y57" s="599"/>
      <c r="Z57" s="599"/>
    </row>
    <row r="58" spans="1:26" s="95" customFormat="1" ht="19.95" customHeight="1">
      <c r="A58" s="599"/>
      <c r="B58" s="824"/>
      <c r="C58" s="600"/>
      <c r="D58" s="601"/>
      <c r="E58" s="602"/>
      <c r="F58" s="1168"/>
      <c r="G58" s="1169"/>
      <c r="H58" s="142"/>
      <c r="I58" s="599"/>
      <c r="J58" s="709"/>
      <c r="K58" s="710"/>
      <c r="L58" s="710"/>
      <c r="M58" s="710"/>
      <c r="N58" s="710"/>
      <c r="O58" s="710"/>
      <c r="P58" s="710"/>
      <c r="Q58" s="710"/>
      <c r="R58" s="710"/>
      <c r="S58" s="710"/>
      <c r="T58" s="710"/>
      <c r="U58" s="710"/>
      <c r="V58" s="711"/>
      <c r="W58" s="599"/>
      <c r="X58" s="599"/>
      <c r="Y58" s="599"/>
      <c r="Z58" s="599"/>
    </row>
    <row r="59" spans="1:26" s="95" customFormat="1" ht="22.95" customHeight="1">
      <c r="A59" s="599"/>
      <c r="B59" s="824"/>
      <c r="C59" s="603"/>
      <c r="D59" s="604"/>
      <c r="E59" s="605"/>
      <c r="F59" s="1160"/>
      <c r="G59" s="1161"/>
      <c r="H59" s="142"/>
      <c r="I59" s="599"/>
      <c r="J59" s="709"/>
      <c r="K59" s="710"/>
      <c r="L59" s="710"/>
      <c r="M59" s="710"/>
      <c r="N59" s="710"/>
      <c r="O59" s="710"/>
      <c r="P59" s="710"/>
      <c r="Q59" s="710"/>
      <c r="R59" s="710"/>
      <c r="S59" s="710"/>
      <c r="T59" s="710"/>
      <c r="U59" s="710"/>
      <c r="V59" s="711"/>
      <c r="W59" s="599"/>
      <c r="X59" s="599"/>
      <c r="Y59" s="599"/>
      <c r="Z59" s="599"/>
    </row>
    <row r="60" spans="1:26" s="95" customFormat="1" ht="19.95" customHeight="1" thickBot="1">
      <c r="A60" s="599"/>
      <c r="B60" s="824"/>
      <c r="C60" s="223" t="s">
        <v>364</v>
      </c>
      <c r="D60" s="224"/>
      <c r="E60" s="69">
        <f>E61+E65</f>
        <v>0</v>
      </c>
      <c r="F60" s="1180"/>
      <c r="G60" s="1181"/>
      <c r="H60" s="142"/>
      <c r="I60" s="599"/>
      <c r="J60" s="709"/>
      <c r="K60" s="710"/>
      <c r="L60" s="710"/>
      <c r="M60" s="710"/>
      <c r="N60" s="710"/>
      <c r="O60" s="710"/>
      <c r="P60" s="710"/>
      <c r="Q60" s="710"/>
      <c r="R60" s="710"/>
      <c r="S60" s="710"/>
      <c r="T60" s="710"/>
      <c r="U60" s="710"/>
      <c r="V60" s="711"/>
      <c r="W60" s="599"/>
      <c r="X60" s="599"/>
      <c r="Y60" s="599"/>
      <c r="Z60" s="599"/>
    </row>
    <row r="61" spans="1:26" s="95" customFormat="1" ht="19.95" customHeight="1">
      <c r="A61" s="599"/>
      <c r="B61" s="824"/>
      <c r="C61" s="613" t="s">
        <v>365</v>
      </c>
      <c r="D61" s="614"/>
      <c r="E61" s="615">
        <f>SUM(E62:E64)</f>
        <v>0</v>
      </c>
      <c r="F61" s="1182"/>
      <c r="G61" s="1183"/>
      <c r="H61" s="142"/>
      <c r="I61" s="599"/>
      <c r="J61" s="709"/>
      <c r="K61" s="710"/>
      <c r="L61" s="710"/>
      <c r="M61" s="710"/>
      <c r="N61" s="710"/>
      <c r="O61" s="710"/>
      <c r="P61" s="710"/>
      <c r="Q61" s="710"/>
      <c r="R61" s="710"/>
      <c r="S61" s="710"/>
      <c r="T61" s="710"/>
      <c r="U61" s="710"/>
      <c r="V61" s="711"/>
      <c r="W61" s="599"/>
      <c r="X61" s="599"/>
      <c r="Y61" s="599"/>
      <c r="Z61" s="599"/>
    </row>
    <row r="62" spans="1:26" s="95" customFormat="1" ht="19.95" customHeight="1">
      <c r="A62" s="599"/>
      <c r="B62" s="824"/>
      <c r="C62" s="600"/>
      <c r="D62" s="601"/>
      <c r="E62" s="602"/>
      <c r="F62" s="1178"/>
      <c r="G62" s="1179"/>
      <c r="H62" s="142"/>
      <c r="I62" s="599"/>
      <c r="J62" s="709"/>
      <c r="K62" s="710"/>
      <c r="L62" s="710"/>
      <c r="M62" s="710"/>
      <c r="N62" s="710"/>
      <c r="O62" s="710"/>
      <c r="P62" s="710"/>
      <c r="Q62" s="710"/>
      <c r="R62" s="710"/>
      <c r="S62" s="710"/>
      <c r="T62" s="710"/>
      <c r="U62" s="710"/>
      <c r="V62" s="711"/>
      <c r="W62" s="599"/>
      <c r="X62" s="599"/>
      <c r="Y62" s="599"/>
      <c r="Z62" s="599"/>
    </row>
    <row r="63" spans="1:26" s="95" customFormat="1" ht="19.95" customHeight="1">
      <c r="A63" s="599"/>
      <c r="B63" s="824"/>
      <c r="C63" s="600"/>
      <c r="D63" s="601"/>
      <c r="E63" s="602"/>
      <c r="F63" s="1178"/>
      <c r="G63" s="1179"/>
      <c r="H63" s="142"/>
      <c r="I63" s="599"/>
      <c r="J63" s="709"/>
      <c r="K63" s="710"/>
      <c r="L63" s="710"/>
      <c r="M63" s="710"/>
      <c r="N63" s="710"/>
      <c r="O63" s="710"/>
      <c r="P63" s="710"/>
      <c r="Q63" s="710"/>
      <c r="R63" s="710"/>
      <c r="S63" s="710"/>
      <c r="T63" s="710"/>
      <c r="U63" s="710"/>
      <c r="V63" s="711"/>
      <c r="W63" s="599"/>
      <c r="X63" s="599"/>
      <c r="Y63" s="599"/>
      <c r="Z63" s="599"/>
    </row>
    <row r="64" spans="1:26" s="95" customFormat="1" ht="19.95" customHeight="1">
      <c r="A64" s="599"/>
      <c r="B64" s="824"/>
      <c r="C64" s="600"/>
      <c r="D64" s="601"/>
      <c r="E64" s="602"/>
      <c r="F64" s="1178"/>
      <c r="G64" s="1179"/>
      <c r="H64" s="142"/>
      <c r="I64" s="599"/>
      <c r="J64" s="709"/>
      <c r="K64" s="710"/>
      <c r="L64" s="710"/>
      <c r="M64" s="710"/>
      <c r="N64" s="710"/>
      <c r="O64" s="710"/>
      <c r="P64" s="710"/>
      <c r="Q64" s="710"/>
      <c r="R64" s="710"/>
      <c r="S64" s="710"/>
      <c r="T64" s="710"/>
      <c r="U64" s="710"/>
      <c r="V64" s="711"/>
      <c r="W64" s="599"/>
      <c r="X64" s="599"/>
      <c r="Y64" s="599"/>
      <c r="Z64" s="599"/>
    </row>
    <row r="65" spans="1:28" s="95" customFormat="1" ht="19.95" customHeight="1">
      <c r="A65" s="599"/>
      <c r="B65" s="824"/>
      <c r="C65" s="279" t="s">
        <v>366</v>
      </c>
      <c r="D65" s="616"/>
      <c r="E65" s="617">
        <f t="shared" ref="E65" si="3">SUM(E66:E68)</f>
        <v>0</v>
      </c>
      <c r="F65" s="1178"/>
      <c r="G65" s="1179"/>
      <c r="H65" s="142"/>
      <c r="I65" s="599"/>
      <c r="J65" s="709"/>
      <c r="K65" s="710"/>
      <c r="L65" s="710"/>
      <c r="M65" s="710"/>
      <c r="N65" s="710"/>
      <c r="O65" s="710"/>
      <c r="P65" s="710"/>
      <c r="Q65" s="710"/>
      <c r="R65" s="710"/>
      <c r="S65" s="710"/>
      <c r="T65" s="710"/>
      <c r="U65" s="710"/>
      <c r="V65" s="711"/>
      <c r="W65" s="599"/>
      <c r="X65" s="599"/>
      <c r="Y65" s="599"/>
      <c r="Z65" s="599"/>
      <c r="AA65" s="599"/>
      <c r="AB65" s="599"/>
    </row>
    <row r="66" spans="1:28" s="95" customFormat="1" ht="19.95" customHeight="1">
      <c r="A66" s="599"/>
      <c r="B66" s="824"/>
      <c r="C66" s="600"/>
      <c r="D66" s="601"/>
      <c r="E66" s="602"/>
      <c r="F66" s="1178"/>
      <c r="G66" s="1179"/>
      <c r="H66" s="142"/>
      <c r="I66" s="599"/>
      <c r="J66" s="709"/>
      <c r="K66" s="710"/>
      <c r="L66" s="710"/>
      <c r="M66" s="710"/>
      <c r="N66" s="710"/>
      <c r="O66" s="710"/>
      <c r="P66" s="710"/>
      <c r="Q66" s="710"/>
      <c r="R66" s="710"/>
      <c r="S66" s="710"/>
      <c r="T66" s="710"/>
      <c r="U66" s="710"/>
      <c r="V66" s="711"/>
      <c r="W66" s="599"/>
      <c r="X66" s="599"/>
      <c r="Y66" s="599"/>
      <c r="Z66" s="599"/>
      <c r="AA66" s="599"/>
      <c r="AB66" s="599"/>
    </row>
    <row r="67" spans="1:28" s="95" customFormat="1" ht="19.95" customHeight="1">
      <c r="A67" s="599"/>
      <c r="B67" s="824"/>
      <c r="C67" s="600"/>
      <c r="D67" s="601"/>
      <c r="E67" s="602"/>
      <c r="F67" s="1178"/>
      <c r="G67" s="1179"/>
      <c r="H67" s="142"/>
      <c r="I67" s="599"/>
      <c r="J67" s="709"/>
      <c r="K67" s="710"/>
      <c r="L67" s="710"/>
      <c r="M67" s="710"/>
      <c r="N67" s="710"/>
      <c r="O67" s="710"/>
      <c r="P67" s="710"/>
      <c r="Q67" s="710"/>
      <c r="R67" s="710"/>
      <c r="S67" s="710"/>
      <c r="T67" s="710"/>
      <c r="U67" s="710"/>
      <c r="V67" s="711"/>
      <c r="W67" s="599"/>
      <c r="X67" s="599"/>
      <c r="Y67" s="599"/>
      <c r="Z67" s="599"/>
      <c r="AA67" s="599"/>
      <c r="AB67" s="599"/>
    </row>
    <row r="68" spans="1:28" s="95" customFormat="1" ht="22.95" customHeight="1">
      <c r="A68" s="599"/>
      <c r="B68" s="824"/>
      <c r="C68" s="603"/>
      <c r="D68" s="604"/>
      <c r="E68" s="605"/>
      <c r="F68" s="1160"/>
      <c r="G68" s="1161"/>
      <c r="H68" s="142"/>
      <c r="I68" s="599"/>
      <c r="J68" s="709"/>
      <c r="K68" s="710"/>
      <c r="L68" s="710"/>
      <c r="M68" s="710"/>
      <c r="N68" s="710"/>
      <c r="O68" s="710"/>
      <c r="P68" s="710"/>
      <c r="Q68" s="710"/>
      <c r="R68" s="710"/>
      <c r="S68" s="710"/>
      <c r="T68" s="710"/>
      <c r="U68" s="710"/>
      <c r="V68" s="711"/>
      <c r="W68" s="599"/>
      <c r="X68" s="599"/>
      <c r="Y68" s="599"/>
      <c r="Z68" s="599"/>
      <c r="AA68" s="599"/>
      <c r="AB68" s="599"/>
    </row>
    <row r="69" spans="1:28" s="95" customFormat="1" ht="22.95" customHeight="1">
      <c r="A69" s="599"/>
      <c r="B69" s="824"/>
      <c r="C69" s="318"/>
      <c r="D69" s="318"/>
      <c r="E69" s="359"/>
      <c r="F69" s="359"/>
      <c r="G69" s="359"/>
      <c r="H69" s="142"/>
      <c r="I69" s="599"/>
      <c r="J69" s="709"/>
      <c r="K69" s="710"/>
      <c r="L69" s="710"/>
      <c r="M69" s="710"/>
      <c r="N69" s="710"/>
      <c r="O69" s="710"/>
      <c r="P69" s="710"/>
      <c r="Q69" s="710"/>
      <c r="R69" s="710"/>
      <c r="S69" s="710"/>
      <c r="T69" s="710"/>
      <c r="U69" s="710"/>
      <c r="V69" s="711"/>
      <c r="W69" s="599"/>
      <c r="X69" s="599"/>
      <c r="Y69" s="599"/>
      <c r="Z69" s="599"/>
      <c r="AA69" s="599"/>
      <c r="AB69" s="599"/>
    </row>
    <row r="70" spans="1:28" s="95" customFormat="1" ht="22.95" customHeight="1">
      <c r="A70" s="599"/>
      <c r="B70" s="824"/>
      <c r="C70" s="204"/>
      <c r="D70" s="205"/>
      <c r="E70" s="227" t="s">
        <v>359</v>
      </c>
      <c r="F70" s="1170" t="s">
        <v>196</v>
      </c>
      <c r="G70" s="1171"/>
      <c r="H70" s="142"/>
      <c r="I70" s="599"/>
      <c r="J70" s="709"/>
      <c r="K70" s="710"/>
      <c r="L70" s="710"/>
      <c r="M70" s="710"/>
      <c r="N70" s="710"/>
      <c r="O70" s="710"/>
      <c r="P70" s="710"/>
      <c r="Q70" s="710"/>
      <c r="R70" s="710"/>
      <c r="S70" s="710"/>
      <c r="T70" s="710"/>
      <c r="U70" s="710"/>
      <c r="V70" s="711"/>
      <c r="W70" s="599"/>
      <c r="X70" s="599"/>
      <c r="Y70" s="599"/>
      <c r="Z70" s="599"/>
      <c r="AA70" s="599"/>
      <c r="AB70" s="599"/>
    </row>
    <row r="71" spans="1:28" s="95" customFormat="1" ht="22.95" customHeight="1">
      <c r="A71" s="599"/>
      <c r="B71" s="824"/>
      <c r="C71" s="208" t="s">
        <v>367</v>
      </c>
      <c r="D71" s="209"/>
      <c r="E71" s="228">
        <f>ejercicio</f>
        <v>2025</v>
      </c>
      <c r="F71" s="1172"/>
      <c r="G71" s="1173"/>
      <c r="H71" s="142"/>
      <c r="I71" s="599"/>
      <c r="J71" s="709"/>
      <c r="K71" s="710"/>
      <c r="L71" s="710"/>
      <c r="M71" s="710"/>
      <c r="N71" s="710"/>
      <c r="O71" s="710"/>
      <c r="P71" s="710"/>
      <c r="Q71" s="710"/>
      <c r="R71" s="710"/>
      <c r="S71" s="710"/>
      <c r="T71" s="710"/>
      <c r="U71" s="710"/>
      <c r="V71" s="711"/>
      <c r="W71" s="599"/>
      <c r="X71" s="599"/>
      <c r="Y71" s="599"/>
      <c r="Z71" s="599"/>
      <c r="AA71" s="599"/>
      <c r="AB71" s="599"/>
    </row>
    <row r="72" spans="1:28" s="95" customFormat="1" ht="22.95" customHeight="1">
      <c r="A72" s="599"/>
      <c r="B72" s="824"/>
      <c r="C72" s="941" t="s">
        <v>368</v>
      </c>
      <c r="D72" s="942"/>
      <c r="E72" s="642">
        <v>6049.7</v>
      </c>
      <c r="F72" s="1174"/>
      <c r="G72" s="1175"/>
      <c r="H72" s="142"/>
      <c r="I72" s="599"/>
      <c r="J72" s="709"/>
      <c r="K72" s="710"/>
      <c r="L72" s="710"/>
      <c r="M72" s="710"/>
      <c r="N72" s="710"/>
      <c r="O72" s="710"/>
      <c r="P72" s="710"/>
      <c r="Q72" s="710"/>
      <c r="R72" s="710"/>
      <c r="S72" s="710"/>
      <c r="T72" s="710"/>
      <c r="U72" s="710"/>
      <c r="V72" s="711"/>
      <c r="W72" s="599"/>
      <c r="X72" s="599"/>
      <c r="Y72" s="599"/>
      <c r="Z72" s="599"/>
      <c r="AA72" s="599"/>
      <c r="AB72" s="599"/>
    </row>
    <row r="73" spans="1:28" s="95" customFormat="1" ht="22.95" customHeight="1">
      <c r="A73" s="599"/>
      <c r="B73" s="824"/>
      <c r="C73" s="862" t="s">
        <v>369</v>
      </c>
      <c r="D73" s="944"/>
      <c r="E73" s="605">
        <v>-6049.7</v>
      </c>
      <c r="F73" s="1176"/>
      <c r="G73" s="1177"/>
      <c r="H73" s="142"/>
      <c r="I73" s="599"/>
      <c r="J73" s="709"/>
      <c r="K73" s="710"/>
      <c r="L73" s="710"/>
      <c r="M73" s="710"/>
      <c r="N73" s="710"/>
      <c r="O73" s="710"/>
      <c r="P73" s="710"/>
      <c r="Q73" s="710"/>
      <c r="R73" s="710"/>
      <c r="S73" s="710"/>
      <c r="T73" s="710"/>
      <c r="U73" s="710"/>
      <c r="V73" s="711"/>
      <c r="W73" s="599"/>
      <c r="X73" s="599"/>
      <c r="Y73" s="599"/>
      <c r="Z73" s="599"/>
      <c r="AA73" s="599"/>
      <c r="AB73" s="599"/>
    </row>
    <row r="74" spans="1:28" s="95" customFormat="1" ht="22.95" customHeight="1">
      <c r="A74" s="599"/>
      <c r="B74" s="824"/>
      <c r="C74" s="318"/>
      <c r="D74" s="318"/>
      <c r="E74" s="359"/>
      <c r="F74" s="359"/>
      <c r="G74" s="359"/>
      <c r="H74" s="142"/>
      <c r="I74" s="599"/>
      <c r="J74" s="709"/>
      <c r="K74" s="710"/>
      <c r="L74" s="710"/>
      <c r="M74" s="710"/>
      <c r="N74" s="710"/>
      <c r="O74" s="710"/>
      <c r="P74" s="710"/>
      <c r="Q74" s="710"/>
      <c r="R74" s="710"/>
      <c r="S74" s="710"/>
      <c r="T74" s="710"/>
      <c r="U74" s="710"/>
      <c r="V74" s="711"/>
      <c r="W74" s="599"/>
      <c r="X74" s="599"/>
      <c r="Y74" s="599"/>
      <c r="Z74" s="599"/>
      <c r="AA74" s="599"/>
      <c r="AB74" s="599"/>
    </row>
    <row r="75" spans="1:28" s="95" customFormat="1" ht="22.95" customHeight="1">
      <c r="A75" s="599"/>
      <c r="B75" s="824"/>
      <c r="C75" s="204"/>
      <c r="D75" s="205"/>
      <c r="E75" s="227" t="s">
        <v>359</v>
      </c>
      <c r="F75" s="1170" t="s">
        <v>196</v>
      </c>
      <c r="G75" s="1171"/>
      <c r="H75" s="142"/>
      <c r="I75" s="599"/>
      <c r="J75" s="709"/>
      <c r="K75" s="710"/>
      <c r="L75" s="710"/>
      <c r="M75" s="710"/>
      <c r="N75" s="710"/>
      <c r="O75" s="710"/>
      <c r="P75" s="710"/>
      <c r="Q75" s="710"/>
      <c r="R75" s="710"/>
      <c r="S75" s="710"/>
      <c r="T75" s="710"/>
      <c r="U75" s="710"/>
      <c r="V75" s="711"/>
      <c r="W75" s="599"/>
      <c r="X75" s="599"/>
      <c r="Y75" s="599"/>
      <c r="Z75" s="599"/>
      <c r="AA75" s="599"/>
      <c r="AB75" s="599"/>
    </row>
    <row r="76" spans="1:28" s="95" customFormat="1" ht="22.95" customHeight="1">
      <c r="A76" s="599"/>
      <c r="B76" s="824"/>
      <c r="C76" s="208" t="s">
        <v>370</v>
      </c>
      <c r="D76" s="209"/>
      <c r="E76" s="228">
        <f>ejercicio</f>
        <v>2025</v>
      </c>
      <c r="F76" s="1172"/>
      <c r="G76" s="1173"/>
      <c r="H76" s="142"/>
      <c r="I76" s="599"/>
      <c r="J76" s="709"/>
      <c r="K76" s="710"/>
      <c r="L76" s="710"/>
      <c r="M76" s="710"/>
      <c r="N76" s="710"/>
      <c r="O76" s="710"/>
      <c r="P76" s="710"/>
      <c r="Q76" s="710"/>
      <c r="R76" s="710"/>
      <c r="S76" s="710"/>
      <c r="T76" s="710"/>
      <c r="U76" s="710"/>
      <c r="V76" s="711"/>
      <c r="W76" s="599"/>
      <c r="X76" s="599"/>
      <c r="Y76" s="599"/>
      <c r="Z76" s="599"/>
      <c r="AA76" s="599"/>
      <c r="AB76" s="599"/>
    </row>
    <row r="77" spans="1:28" s="95" customFormat="1" ht="22.95" customHeight="1">
      <c r="A77" s="599"/>
      <c r="B77" s="824"/>
      <c r="C77" s="212" t="s">
        <v>371</v>
      </c>
      <c r="D77" s="213"/>
      <c r="E77" s="80">
        <f>SUM(E78:E80)</f>
        <v>54950</v>
      </c>
      <c r="F77" s="1164"/>
      <c r="G77" s="1165"/>
      <c r="H77" s="142"/>
      <c r="I77" s="599"/>
      <c r="J77" s="709"/>
      <c r="K77" s="710"/>
      <c r="L77" s="710"/>
      <c r="M77" s="710"/>
      <c r="N77" s="710"/>
      <c r="O77" s="710"/>
      <c r="P77" s="710"/>
      <c r="Q77" s="710"/>
      <c r="R77" s="710"/>
      <c r="S77" s="710"/>
      <c r="T77" s="710"/>
      <c r="U77" s="710"/>
      <c r="V77" s="711"/>
      <c r="W77" s="599"/>
      <c r="X77" s="599"/>
      <c r="Y77" s="599"/>
      <c r="Z77" s="599"/>
      <c r="AA77" s="599"/>
      <c r="AB77" s="599"/>
    </row>
    <row r="78" spans="1:28" s="95" customFormat="1" ht="22.95" customHeight="1">
      <c r="A78" s="599"/>
      <c r="B78" s="824"/>
      <c r="C78" s="945" t="s">
        <v>372</v>
      </c>
      <c r="D78" s="946"/>
      <c r="E78" s="621"/>
      <c r="F78" s="1166"/>
      <c r="G78" s="1167"/>
      <c r="H78" s="142"/>
      <c r="I78" s="599"/>
      <c r="J78" s="709"/>
      <c r="K78" s="710"/>
      <c r="L78" s="710"/>
      <c r="M78" s="710"/>
      <c r="N78" s="710"/>
      <c r="O78" s="710"/>
      <c r="P78" s="710"/>
      <c r="Q78" s="710"/>
      <c r="R78" s="710"/>
      <c r="S78" s="710"/>
      <c r="T78" s="710"/>
      <c r="U78" s="710"/>
      <c r="V78" s="711"/>
      <c r="W78" s="599"/>
      <c r="X78" s="599"/>
      <c r="Y78" s="599"/>
      <c r="Z78" s="599"/>
      <c r="AA78" s="599"/>
      <c r="AB78" s="599"/>
    </row>
    <row r="79" spans="1:28" s="95" customFormat="1" ht="22.95" customHeight="1">
      <c r="A79" s="599"/>
      <c r="B79" s="824"/>
      <c r="C79" s="845" t="s">
        <v>373</v>
      </c>
      <c r="D79" s="616"/>
      <c r="E79" s="661">
        <v>28200</v>
      </c>
      <c r="F79" s="1168" t="s">
        <v>374</v>
      </c>
      <c r="G79" s="1169" t="s">
        <v>374</v>
      </c>
      <c r="H79" s="142"/>
      <c r="I79" s="599"/>
      <c r="J79" s="709"/>
      <c r="K79" s="710"/>
      <c r="L79" s="710"/>
      <c r="M79" s="710"/>
      <c r="N79" s="710"/>
      <c r="O79" s="710"/>
      <c r="P79" s="710"/>
      <c r="Q79" s="710"/>
      <c r="R79" s="710"/>
      <c r="S79" s="710"/>
      <c r="T79" s="710"/>
      <c r="U79" s="710"/>
      <c r="V79" s="711"/>
      <c r="W79" s="599"/>
      <c r="X79" s="599"/>
      <c r="Y79" s="599"/>
      <c r="Z79" s="599"/>
      <c r="AA79" s="599"/>
      <c r="AB79" s="599"/>
    </row>
    <row r="80" spans="1:28" s="215" customFormat="1" ht="22.95" customHeight="1">
      <c r="B80" s="824"/>
      <c r="C80" s="947" t="s">
        <v>375</v>
      </c>
      <c r="D80" s="948"/>
      <c r="E80" s="666">
        <v>26750</v>
      </c>
      <c r="F80" s="1160" t="s">
        <v>376</v>
      </c>
      <c r="G80" s="1161" t="s">
        <v>377</v>
      </c>
      <c r="H80" s="142"/>
      <c r="J80" s="709"/>
      <c r="K80" s="710"/>
      <c r="L80" s="710"/>
      <c r="M80" s="710"/>
      <c r="N80" s="710"/>
      <c r="O80" s="710"/>
      <c r="P80" s="710"/>
      <c r="Q80" s="710"/>
      <c r="R80" s="710"/>
      <c r="S80" s="710"/>
      <c r="T80" s="710"/>
      <c r="U80" s="710"/>
      <c r="V80" s="711"/>
      <c r="W80" s="599"/>
      <c r="X80" s="599"/>
      <c r="Y80" s="599"/>
      <c r="Z80" s="599"/>
    </row>
    <row r="81" spans="1:28" s="95" customFormat="1" ht="22.95" customHeight="1">
      <c r="A81" s="599"/>
      <c r="B81" s="141"/>
      <c r="C81" s="212" t="s">
        <v>378</v>
      </c>
      <c r="D81" s="213"/>
      <c r="E81" s="80">
        <f>SUM(E82:E88)</f>
        <v>762534.33</v>
      </c>
      <c r="F81" s="1164"/>
      <c r="G81" s="1165"/>
      <c r="H81" s="142"/>
      <c r="I81" s="599"/>
      <c r="J81" s="709"/>
      <c r="K81" s="710"/>
      <c r="L81" s="710"/>
      <c r="M81" s="710"/>
      <c r="N81" s="710"/>
      <c r="O81" s="710"/>
      <c r="P81" s="710"/>
      <c r="Q81" s="710"/>
      <c r="R81" s="710"/>
      <c r="S81" s="710"/>
      <c r="T81" s="710"/>
      <c r="U81" s="710"/>
      <c r="V81" s="711"/>
      <c r="W81" s="215"/>
      <c r="X81" s="215"/>
      <c r="Y81" s="215"/>
      <c r="Z81" s="215"/>
      <c r="AA81" s="599"/>
      <c r="AB81" s="599"/>
    </row>
    <row r="82" spans="1:28" s="95" customFormat="1" ht="22.95" customHeight="1">
      <c r="A82" s="599"/>
      <c r="B82" s="824"/>
      <c r="C82" s="945" t="s">
        <v>379</v>
      </c>
      <c r="D82" s="946"/>
      <c r="E82" s="357"/>
      <c r="F82" s="1166"/>
      <c r="G82" s="1167"/>
      <c r="H82" s="142"/>
      <c r="I82" s="599"/>
      <c r="J82" s="709"/>
      <c r="K82" s="710"/>
      <c r="L82" s="710"/>
      <c r="M82" s="710"/>
      <c r="N82" s="710"/>
      <c r="O82" s="710"/>
      <c r="P82" s="710"/>
      <c r="Q82" s="710"/>
      <c r="R82" s="710"/>
      <c r="S82" s="710"/>
      <c r="T82" s="710"/>
      <c r="U82" s="710"/>
      <c r="V82" s="711"/>
      <c r="W82" s="599"/>
      <c r="X82" s="599"/>
      <c r="Y82" s="599"/>
      <c r="Z82" s="599"/>
      <c r="AA82" s="599"/>
      <c r="AB82" s="599"/>
    </row>
    <row r="83" spans="1:28" s="95" customFormat="1" ht="22.95" customHeight="1">
      <c r="A83" s="599"/>
      <c r="B83" s="824"/>
      <c r="C83" s="845" t="s">
        <v>380</v>
      </c>
      <c r="D83" s="616"/>
      <c r="E83" s="602"/>
      <c r="F83" s="1168"/>
      <c r="G83" s="1169"/>
      <c r="H83" s="142"/>
      <c r="I83" s="599"/>
      <c r="J83" s="709"/>
      <c r="K83" s="710"/>
      <c r="L83" s="710"/>
      <c r="M83" s="710"/>
      <c r="N83" s="710"/>
      <c r="O83" s="710"/>
      <c r="P83" s="710"/>
      <c r="Q83" s="710"/>
      <c r="R83" s="710"/>
      <c r="S83" s="710"/>
      <c r="T83" s="710"/>
      <c r="U83" s="710"/>
      <c r="V83" s="711"/>
      <c r="W83" s="599"/>
      <c r="X83" s="599"/>
      <c r="Y83" s="599"/>
      <c r="Z83" s="599"/>
      <c r="AA83" s="599"/>
      <c r="AB83" s="599"/>
    </row>
    <row r="84" spans="1:28" s="95" customFormat="1" ht="22.95" customHeight="1">
      <c r="A84" s="599"/>
      <c r="B84" s="824"/>
      <c r="C84" s="845" t="s">
        <v>381</v>
      </c>
      <c r="D84" s="616"/>
      <c r="E84" s="602"/>
      <c r="F84" s="1168"/>
      <c r="G84" s="1169"/>
      <c r="H84" s="142"/>
      <c r="I84" s="599"/>
      <c r="J84" s="709"/>
      <c r="K84" s="710"/>
      <c r="L84" s="710"/>
      <c r="M84" s="710"/>
      <c r="N84" s="710"/>
      <c r="O84" s="710"/>
      <c r="P84" s="710"/>
      <c r="Q84" s="710"/>
      <c r="R84" s="710"/>
      <c r="S84" s="710"/>
      <c r="T84" s="710"/>
      <c r="U84" s="710"/>
      <c r="V84" s="711"/>
      <c r="W84" s="599"/>
      <c r="X84" s="599"/>
      <c r="Y84" s="599"/>
      <c r="Z84" s="599"/>
      <c r="AA84" s="599"/>
      <c r="AB84" s="599"/>
    </row>
    <row r="85" spans="1:28" s="95" customFormat="1" ht="22.95" customHeight="1">
      <c r="A85" s="599"/>
      <c r="B85" s="824"/>
      <c r="C85" s="845" t="s">
        <v>382</v>
      </c>
      <c r="D85" s="616"/>
      <c r="E85" s="602">
        <v>762534.33</v>
      </c>
      <c r="F85" s="1168"/>
      <c r="G85" s="1169"/>
      <c r="H85" s="142"/>
      <c r="I85" s="599"/>
      <c r="J85" s="709"/>
      <c r="K85" s="710"/>
      <c r="L85" s="710"/>
      <c r="M85" s="710"/>
      <c r="N85" s="710"/>
      <c r="O85" s="710"/>
      <c r="P85" s="710"/>
      <c r="Q85" s="710"/>
      <c r="R85" s="710"/>
      <c r="S85" s="710"/>
      <c r="T85" s="710"/>
      <c r="U85" s="710"/>
      <c r="V85" s="711"/>
      <c r="W85" s="599"/>
      <c r="X85" s="599"/>
      <c r="Y85" s="599"/>
      <c r="Z85" s="599"/>
      <c r="AA85" s="599"/>
      <c r="AB85" s="599"/>
    </row>
    <row r="86" spans="1:28" s="95" customFormat="1" ht="22.95" customHeight="1">
      <c r="A86" s="599"/>
      <c r="B86" s="824"/>
      <c r="C86" s="845" t="s">
        <v>383</v>
      </c>
      <c r="D86" s="616"/>
      <c r="E86" s="602"/>
      <c r="F86" s="1168"/>
      <c r="G86" s="1169"/>
      <c r="H86" s="142"/>
      <c r="I86" s="599"/>
      <c r="J86" s="709"/>
      <c r="K86" s="710"/>
      <c r="L86" s="710"/>
      <c r="M86" s="710"/>
      <c r="N86" s="710"/>
      <c r="O86" s="710"/>
      <c r="P86" s="710"/>
      <c r="Q86" s="710"/>
      <c r="R86" s="710"/>
      <c r="S86" s="710"/>
      <c r="T86" s="710"/>
      <c r="U86" s="710"/>
      <c r="V86" s="711"/>
      <c r="W86" s="599"/>
      <c r="X86" s="599"/>
      <c r="Y86" s="599"/>
      <c r="Z86" s="599"/>
      <c r="AA86" s="599"/>
      <c r="AB86" s="599"/>
    </row>
    <row r="87" spans="1:28" s="95" customFormat="1" ht="22.95" customHeight="1">
      <c r="A87" s="599"/>
      <c r="B87" s="824"/>
      <c r="C87" s="845" t="s">
        <v>384</v>
      </c>
      <c r="D87" s="948"/>
      <c r="E87" s="949"/>
      <c r="F87" s="1168"/>
      <c r="G87" s="1169"/>
      <c r="H87" s="142"/>
      <c r="I87" s="599"/>
      <c r="J87" s="709"/>
      <c r="K87" s="710"/>
      <c r="L87" s="710"/>
      <c r="M87" s="710"/>
      <c r="N87" s="710"/>
      <c r="O87" s="710"/>
      <c r="P87" s="710"/>
      <c r="Q87" s="710"/>
      <c r="R87" s="710"/>
      <c r="S87" s="710"/>
      <c r="T87" s="710"/>
      <c r="U87" s="710"/>
      <c r="V87" s="711"/>
      <c r="W87" s="599"/>
      <c r="X87" s="599"/>
      <c r="Y87" s="599"/>
      <c r="Z87" s="599"/>
      <c r="AA87" s="599"/>
      <c r="AB87" s="599"/>
    </row>
    <row r="88" spans="1:28" s="95" customFormat="1" ht="22.95" customHeight="1">
      <c r="A88" s="599"/>
      <c r="B88" s="824"/>
      <c r="C88" s="862" t="s">
        <v>385</v>
      </c>
      <c r="D88" s="944"/>
      <c r="E88" s="605"/>
      <c r="F88" s="1160"/>
      <c r="G88" s="1161"/>
      <c r="H88" s="142"/>
      <c r="I88" s="599"/>
      <c r="J88" s="709"/>
      <c r="K88" s="710"/>
      <c r="L88" s="710"/>
      <c r="M88" s="710"/>
      <c r="N88" s="710"/>
      <c r="O88" s="710"/>
      <c r="P88" s="710"/>
      <c r="Q88" s="710"/>
      <c r="R88" s="710"/>
      <c r="S88" s="710"/>
      <c r="T88" s="710"/>
      <c r="U88" s="710"/>
      <c r="V88" s="711"/>
      <c r="W88" s="599"/>
      <c r="X88" s="599"/>
      <c r="Y88" s="599"/>
      <c r="Z88" s="599"/>
      <c r="AA88" s="599"/>
      <c r="AB88" s="599"/>
    </row>
    <row r="89" spans="1:28" s="95" customFormat="1" ht="22.95" customHeight="1">
      <c r="A89" s="599"/>
      <c r="B89" s="824"/>
      <c r="C89" s="318"/>
      <c r="D89" s="318"/>
      <c r="E89" s="359"/>
      <c r="F89" s="359"/>
      <c r="G89" s="359"/>
      <c r="H89" s="142"/>
      <c r="I89" s="599"/>
      <c r="J89" s="709"/>
      <c r="K89" s="710"/>
      <c r="L89" s="710"/>
      <c r="M89" s="710"/>
      <c r="N89" s="710"/>
      <c r="O89" s="710"/>
      <c r="P89" s="710"/>
      <c r="Q89" s="710"/>
      <c r="R89" s="710"/>
      <c r="S89" s="710"/>
      <c r="T89" s="710"/>
      <c r="U89" s="710"/>
      <c r="V89" s="711"/>
      <c r="W89" s="599"/>
      <c r="X89" s="599"/>
      <c r="Y89" s="599"/>
      <c r="Z89" s="599"/>
      <c r="AA89" s="599"/>
      <c r="AB89" s="599"/>
    </row>
    <row r="90" spans="1:28" s="95" customFormat="1" ht="64.95" customHeight="1">
      <c r="A90" s="599"/>
      <c r="B90" s="824"/>
      <c r="C90" s="1191" t="s">
        <v>386</v>
      </c>
      <c r="D90" s="1192"/>
      <c r="E90" s="227" t="s">
        <v>359</v>
      </c>
      <c r="F90" s="268" t="s">
        <v>387</v>
      </c>
      <c r="G90" s="1162" t="s">
        <v>196</v>
      </c>
      <c r="H90" s="142"/>
      <c r="I90" s="599"/>
      <c r="J90" s="709"/>
      <c r="K90" s="710"/>
      <c r="L90" s="710"/>
      <c r="M90" s="710"/>
      <c r="N90" s="710"/>
      <c r="O90" s="710"/>
      <c r="P90" s="710"/>
      <c r="Q90" s="710"/>
      <c r="R90" s="710"/>
      <c r="S90" s="710"/>
      <c r="T90" s="710"/>
      <c r="U90" s="710"/>
      <c r="V90" s="711"/>
      <c r="W90" s="599"/>
      <c r="X90" s="599"/>
      <c r="Y90" s="599"/>
      <c r="Z90" s="599"/>
      <c r="AA90" s="599"/>
      <c r="AB90" s="599"/>
    </row>
    <row r="91" spans="1:28" s="95" customFormat="1" ht="22.95" customHeight="1">
      <c r="A91" s="599"/>
      <c r="B91" s="824"/>
      <c r="C91" s="1193"/>
      <c r="D91" s="1194"/>
      <c r="E91" s="228">
        <f>ejercicio</f>
        <v>2025</v>
      </c>
      <c r="F91" s="269" t="s">
        <v>388</v>
      </c>
      <c r="G91" s="1163"/>
      <c r="H91" s="142"/>
      <c r="I91" s="599"/>
      <c r="J91" s="709"/>
      <c r="K91" s="710"/>
      <c r="L91" s="710"/>
      <c r="M91" s="710"/>
      <c r="N91" s="710"/>
      <c r="O91" s="710"/>
      <c r="P91" s="710"/>
      <c r="Q91" s="710"/>
      <c r="R91" s="710"/>
      <c r="S91" s="710"/>
      <c r="T91" s="710"/>
      <c r="U91" s="710"/>
      <c r="V91" s="711"/>
      <c r="W91" s="599"/>
      <c r="X91" s="599"/>
      <c r="Y91" s="599"/>
      <c r="Z91" s="599"/>
      <c r="AA91" s="599"/>
      <c r="AB91" s="599"/>
    </row>
    <row r="92" spans="1:28" s="95" customFormat="1" ht="22.95" customHeight="1" thickBot="1">
      <c r="A92" s="599"/>
      <c r="B92" s="824"/>
      <c r="C92" s="223" t="s">
        <v>389</v>
      </c>
      <c r="D92" s="270"/>
      <c r="E92" s="69">
        <f>SUM(E93:E95)</f>
        <v>0</v>
      </c>
      <c r="F92" s="69"/>
      <c r="G92" s="225"/>
      <c r="H92" s="142"/>
      <c r="I92" s="599"/>
      <c r="J92" s="709"/>
      <c r="K92" s="710"/>
      <c r="L92" s="710"/>
      <c r="M92" s="710"/>
      <c r="N92" s="710"/>
      <c r="O92" s="710"/>
      <c r="P92" s="710"/>
      <c r="Q92" s="710"/>
      <c r="R92" s="710"/>
      <c r="S92" s="710"/>
      <c r="T92" s="710"/>
      <c r="U92" s="710"/>
      <c r="V92" s="711"/>
      <c r="W92" s="599"/>
      <c r="X92" s="599"/>
      <c r="Y92" s="599"/>
      <c r="Z92" s="599"/>
      <c r="AA92" s="599"/>
      <c r="AB92" s="599"/>
    </row>
    <row r="93" spans="1:28" s="95" customFormat="1" ht="22.95" customHeight="1">
      <c r="A93" s="599"/>
      <c r="B93" s="824"/>
      <c r="C93" s="941" t="s">
        <v>390</v>
      </c>
      <c r="D93" s="1117"/>
      <c r="E93" s="621"/>
      <c r="F93" s="770"/>
      <c r="G93" s="1118"/>
      <c r="H93" s="142"/>
      <c r="I93" s="599"/>
      <c r="J93" s="709"/>
      <c r="K93" s="710"/>
      <c r="L93" s="710"/>
      <c r="M93" s="710"/>
      <c r="N93" s="710"/>
      <c r="O93" s="710"/>
      <c r="P93" s="710"/>
      <c r="Q93" s="710"/>
      <c r="R93" s="710"/>
      <c r="S93" s="710"/>
      <c r="T93" s="710"/>
      <c r="U93" s="710"/>
      <c r="V93" s="711"/>
      <c r="W93" s="599"/>
      <c r="X93" s="599"/>
      <c r="Y93" s="599"/>
      <c r="Z93" s="599"/>
      <c r="AA93" s="599"/>
      <c r="AB93" s="599"/>
    </row>
    <row r="94" spans="1:28" s="95" customFormat="1" ht="22.95" customHeight="1">
      <c r="A94" s="599"/>
      <c r="B94" s="824"/>
      <c r="C94" s="845" t="s">
        <v>391</v>
      </c>
      <c r="D94" s="952"/>
      <c r="E94" s="621"/>
      <c r="F94" s="770"/>
      <c r="G94" s="661"/>
      <c r="H94" s="142"/>
      <c r="I94" s="599"/>
      <c r="J94" s="709"/>
      <c r="K94" s="710"/>
      <c r="L94" s="710"/>
      <c r="M94" s="710"/>
      <c r="N94" s="710"/>
      <c r="O94" s="710"/>
      <c r="P94" s="710"/>
      <c r="Q94" s="710"/>
      <c r="R94" s="710"/>
      <c r="S94" s="710"/>
      <c r="T94" s="710"/>
      <c r="U94" s="710"/>
      <c r="V94" s="711"/>
      <c r="W94" s="599"/>
      <c r="X94" s="599"/>
      <c r="Y94" s="599"/>
      <c r="Z94" s="599"/>
      <c r="AA94" s="599"/>
      <c r="AB94" s="599"/>
    </row>
    <row r="95" spans="1:28" s="95" customFormat="1" ht="22.95" customHeight="1">
      <c r="A95" s="599"/>
      <c r="B95" s="824"/>
      <c r="C95" s="862" t="s">
        <v>392</v>
      </c>
      <c r="D95" s="1119"/>
      <c r="E95" s="930"/>
      <c r="F95" s="772"/>
      <c r="G95" s="930"/>
      <c r="H95" s="142"/>
      <c r="I95" s="599"/>
      <c r="J95" s="709"/>
      <c r="K95" s="710"/>
      <c r="L95" s="710"/>
      <c r="M95" s="710"/>
      <c r="N95" s="710"/>
      <c r="O95" s="710"/>
      <c r="P95" s="710"/>
      <c r="Q95" s="710"/>
      <c r="R95" s="710"/>
      <c r="S95" s="710"/>
      <c r="T95" s="710"/>
      <c r="U95" s="710"/>
      <c r="V95" s="711"/>
      <c r="W95" s="599"/>
      <c r="X95" s="599"/>
      <c r="Y95" s="599"/>
      <c r="Z95" s="599"/>
      <c r="AA95" s="599"/>
      <c r="AB95" s="599"/>
    </row>
    <row r="96" spans="1:28" s="95" customFormat="1" ht="22.95" customHeight="1">
      <c r="A96" s="599"/>
      <c r="B96" s="824"/>
      <c r="C96" s="318"/>
      <c r="D96" s="318"/>
      <c r="E96" s="954"/>
      <c r="F96" s="954"/>
      <c r="G96" s="954"/>
      <c r="H96" s="142"/>
      <c r="I96" s="599"/>
      <c r="J96" s="709"/>
      <c r="K96" s="710"/>
      <c r="L96" s="710"/>
      <c r="M96" s="710"/>
      <c r="N96" s="710"/>
      <c r="O96" s="710"/>
      <c r="P96" s="710"/>
      <c r="Q96" s="710"/>
      <c r="R96" s="710"/>
      <c r="S96" s="710"/>
      <c r="T96" s="710"/>
      <c r="U96" s="710"/>
      <c r="V96" s="711"/>
      <c r="W96" s="599"/>
      <c r="X96" s="599"/>
      <c r="Y96" s="599"/>
      <c r="Z96" s="599"/>
      <c r="AA96" s="599"/>
      <c r="AB96" s="599"/>
    </row>
    <row r="97" spans="1:28" s="95" customFormat="1" ht="22.95" customHeight="1">
      <c r="A97" s="599"/>
      <c r="B97" s="824"/>
      <c r="C97" s="265" t="s">
        <v>224</v>
      </c>
      <c r="D97" s="266"/>
      <c r="E97" s="359"/>
      <c r="F97" s="359"/>
      <c r="G97" s="359"/>
      <c r="H97" s="142"/>
      <c r="I97" s="599"/>
      <c r="J97" s="709"/>
      <c r="K97" s="710"/>
      <c r="L97" s="710"/>
      <c r="M97" s="710"/>
      <c r="N97" s="710"/>
      <c r="O97" s="710"/>
      <c r="P97" s="710"/>
      <c r="Q97" s="710"/>
      <c r="R97" s="710"/>
      <c r="S97" s="710"/>
      <c r="T97" s="710"/>
      <c r="U97" s="710"/>
      <c r="V97" s="711"/>
      <c r="W97" s="599"/>
      <c r="X97" s="599"/>
      <c r="Y97" s="599"/>
      <c r="Z97" s="599"/>
      <c r="AA97" s="599"/>
      <c r="AB97" s="599"/>
    </row>
    <row r="98" spans="1:28" s="95" customFormat="1" ht="22.95" customHeight="1">
      <c r="A98" s="599"/>
      <c r="B98" s="824"/>
      <c r="C98" s="266" t="s">
        <v>393</v>
      </c>
      <c r="D98" s="266"/>
      <c r="E98" s="66"/>
      <c r="F98" s="66"/>
      <c r="G98" s="66"/>
      <c r="H98" s="142"/>
      <c r="I98" s="599"/>
      <c r="J98" s="709"/>
      <c r="K98" s="710"/>
      <c r="L98" s="710"/>
      <c r="M98" s="710"/>
      <c r="N98" s="710"/>
      <c r="O98" s="710"/>
      <c r="P98" s="710"/>
      <c r="Q98" s="710"/>
      <c r="R98" s="710"/>
      <c r="S98" s="710"/>
      <c r="T98" s="710"/>
      <c r="U98" s="710"/>
      <c r="V98" s="711"/>
      <c r="W98" s="599"/>
      <c r="X98" s="599"/>
      <c r="Y98" s="599"/>
      <c r="Z98" s="599"/>
      <c r="AA98" s="599"/>
      <c r="AB98" s="599"/>
    </row>
    <row r="99" spans="1:28" s="95" customFormat="1" ht="22.95" customHeight="1">
      <c r="A99" s="599"/>
      <c r="B99" s="824"/>
      <c r="C99" s="267" t="s">
        <v>394</v>
      </c>
      <c r="D99" s="266"/>
      <c r="E99" s="66"/>
      <c r="F99" s="66"/>
      <c r="G99" s="66"/>
      <c r="H99" s="142"/>
      <c r="I99" s="599"/>
      <c r="J99" s="709"/>
      <c r="K99" s="710"/>
      <c r="L99" s="710"/>
      <c r="M99" s="710"/>
      <c r="N99" s="710"/>
      <c r="O99" s="710"/>
      <c r="P99" s="710"/>
      <c r="Q99" s="710"/>
      <c r="R99" s="710"/>
      <c r="S99" s="710"/>
      <c r="T99" s="710"/>
      <c r="U99" s="710"/>
      <c r="V99" s="711"/>
      <c r="W99" s="599"/>
      <c r="X99" s="599"/>
      <c r="Y99" s="599"/>
      <c r="Z99" s="599"/>
      <c r="AA99" s="599"/>
      <c r="AB99" s="599"/>
    </row>
    <row r="100" spans="1:28" s="95" customFormat="1" ht="22.95" customHeight="1">
      <c r="A100" s="599"/>
      <c r="B100" s="824"/>
      <c r="C100" s="267" t="s">
        <v>395</v>
      </c>
      <c r="D100" s="266"/>
      <c r="E100" s="66"/>
      <c r="F100" s="66"/>
      <c r="G100" s="66"/>
      <c r="H100" s="142"/>
      <c r="I100" s="599"/>
      <c r="J100" s="709"/>
      <c r="K100" s="710"/>
      <c r="L100" s="710"/>
      <c r="M100" s="710"/>
      <c r="N100" s="710"/>
      <c r="O100" s="710"/>
      <c r="P100" s="710"/>
      <c r="Q100" s="710"/>
      <c r="R100" s="710"/>
      <c r="S100" s="710"/>
      <c r="T100" s="710"/>
      <c r="U100" s="710"/>
      <c r="V100" s="711"/>
      <c r="W100" s="599"/>
      <c r="X100" s="599"/>
      <c r="Y100" s="599"/>
      <c r="Z100" s="599"/>
      <c r="AA100" s="599"/>
      <c r="AB100" s="599"/>
    </row>
    <row r="101" spans="1:28" ht="22.95" customHeight="1">
      <c r="B101" s="824"/>
      <c r="C101" s="267" t="s">
        <v>396</v>
      </c>
      <c r="D101" s="266"/>
      <c r="E101" s="66"/>
      <c r="F101" s="66"/>
      <c r="G101" s="66"/>
      <c r="H101" s="142"/>
      <c r="I101" s="31"/>
      <c r="J101" s="709"/>
      <c r="K101" s="710"/>
      <c r="L101" s="710"/>
      <c r="M101" s="710"/>
      <c r="N101" s="710"/>
      <c r="O101" s="710"/>
      <c r="P101" s="710"/>
      <c r="Q101" s="710"/>
      <c r="R101" s="710"/>
      <c r="S101" s="710"/>
      <c r="T101" s="710"/>
      <c r="U101" s="710"/>
      <c r="V101" s="711"/>
      <c r="W101" s="599"/>
      <c r="X101" s="599"/>
      <c r="Y101" s="599"/>
      <c r="Z101" s="599"/>
      <c r="AA101" s="599"/>
      <c r="AB101" s="599"/>
    </row>
    <row r="102" spans="1:28" ht="22.95" customHeight="1">
      <c r="B102" s="824"/>
      <c r="C102" s="267" t="s">
        <v>397</v>
      </c>
      <c r="D102" s="266"/>
      <c r="E102" s="66"/>
      <c r="F102" s="66"/>
      <c r="G102" s="66"/>
      <c r="H102" s="142"/>
      <c r="I102" s="31"/>
      <c r="J102" s="709"/>
      <c r="K102" s="710"/>
      <c r="L102" s="710"/>
      <c r="M102" s="710"/>
      <c r="N102" s="710"/>
      <c r="O102" s="710"/>
      <c r="P102" s="710"/>
      <c r="Q102" s="710"/>
      <c r="R102" s="710"/>
      <c r="S102" s="710"/>
      <c r="T102" s="710"/>
      <c r="U102" s="710"/>
      <c r="V102" s="711"/>
      <c r="W102" s="599"/>
      <c r="X102" s="599"/>
      <c r="Y102" s="599"/>
      <c r="Z102" s="599"/>
      <c r="AA102" s="599"/>
      <c r="AB102" s="599"/>
    </row>
    <row r="103" spans="1:28" ht="22.95" customHeight="1" thickBot="1">
      <c r="B103" s="49"/>
      <c r="C103" s="1154"/>
      <c r="D103" s="1154"/>
      <c r="E103" s="1154"/>
      <c r="F103" s="1154"/>
      <c r="G103" s="25"/>
      <c r="H103" s="1120"/>
      <c r="I103" s="31"/>
      <c r="J103" s="715"/>
      <c r="K103" s="716"/>
      <c r="L103" s="716"/>
      <c r="M103" s="716"/>
      <c r="N103" s="716"/>
      <c r="O103" s="716"/>
      <c r="P103" s="716"/>
      <c r="Q103" s="716"/>
      <c r="R103" s="716"/>
      <c r="S103" s="716"/>
      <c r="T103" s="716"/>
      <c r="U103" s="716"/>
      <c r="V103" s="717"/>
    </row>
    <row r="104" spans="1:28" ht="13.2">
      <c r="I104" s="31" t="s">
        <v>179</v>
      </c>
    </row>
    <row r="105" spans="1:28" ht="13.2">
      <c r="C105" s="52" t="s">
        <v>52</v>
      </c>
      <c r="H105" s="1121" t="s">
        <v>398</v>
      </c>
      <c r="I105" s="31"/>
    </row>
    <row r="106" spans="1:28" ht="13.2">
      <c r="C106" s="52" t="s">
        <v>54</v>
      </c>
      <c r="I106" s="31"/>
    </row>
    <row r="107" spans="1:28" ht="13.2">
      <c r="C107" s="52" t="s">
        <v>55</v>
      </c>
      <c r="I107" s="31"/>
    </row>
    <row r="108" spans="1:28" ht="13.2">
      <c r="C108" s="52" t="s">
        <v>56</v>
      </c>
      <c r="I108" s="31"/>
    </row>
    <row r="109" spans="1:28" ht="22.95" customHeight="1">
      <c r="C109" s="52" t="s">
        <v>57</v>
      </c>
      <c r="I109" s="31"/>
    </row>
  </sheetData>
  <sheetProtection algorithmName="SHA-512" hashValue="g1wQdLgYf4MXwoQ8L9/nnkOtV9tXx9NhoD8bm2fRuY1Nw8SrUKpXIRxsdQWhEQ22GA1I1hCLQgywvHBdUpesAg==" saltValue="rHW2QAHzY7KPv0fgXvMM0A==" spinCount="100000" sheet="1" objects="1" scenarios="1" insertRows="0"/>
  <mergeCells count="43">
    <mergeCell ref="C103:F103"/>
    <mergeCell ref="G6:G7"/>
    <mergeCell ref="C12:D12"/>
    <mergeCell ref="C14:D15"/>
    <mergeCell ref="C47:D47"/>
    <mergeCell ref="C90:D91"/>
    <mergeCell ref="E14:G14"/>
    <mergeCell ref="F49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F64:G64"/>
    <mergeCell ref="F65:G65"/>
    <mergeCell ref="F66:G66"/>
    <mergeCell ref="F67:G67"/>
    <mergeCell ref="F68:G68"/>
    <mergeCell ref="F70:G71"/>
    <mergeCell ref="F72:G72"/>
    <mergeCell ref="F73:G73"/>
    <mergeCell ref="F75:G76"/>
    <mergeCell ref="F77:G77"/>
    <mergeCell ref="F78:G78"/>
    <mergeCell ref="F79:G79"/>
    <mergeCell ref="F80:G80"/>
    <mergeCell ref="F86:G86"/>
    <mergeCell ref="F87:G87"/>
    <mergeCell ref="F88:G88"/>
    <mergeCell ref="G90:G91"/>
    <mergeCell ref="F81:G81"/>
    <mergeCell ref="F82:G82"/>
    <mergeCell ref="F83:G83"/>
    <mergeCell ref="F84:G84"/>
    <mergeCell ref="F85:G85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3" orientation="portrait" horizontalDpi="4294967292" verticalDpi="4294967292" r:id="rId1"/>
  <ignoredErrors>
    <ignoredError sqref="E52:E65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2:X44"/>
  <sheetViews>
    <sheetView topLeftCell="A12" zoomScale="70" zoomScaleNormal="70" workbookViewId="0">
      <selection activeCell="F26" sqref="F26:F34"/>
    </sheetView>
  </sheetViews>
  <sheetFormatPr baseColWidth="10" defaultColWidth="10.54296875" defaultRowHeight="22.95" customHeight="1"/>
  <cols>
    <col min="1" max="1" width="4.1796875" style="23" bestFit="1" customWidth="1"/>
    <col min="2" max="2" width="3.1796875" style="23" customWidth="1"/>
    <col min="3" max="3" width="13.54296875" style="23" customWidth="1"/>
    <col min="4" max="4" width="76.54296875" style="23" customWidth="1"/>
    <col min="5" max="8" width="18.453125" style="23" customWidth="1"/>
    <col min="9" max="9" width="3.453125" style="23" customWidth="1"/>
    <col min="10" max="16384" width="10.54296875" style="23"/>
  </cols>
  <sheetData>
    <row r="2" spans="1:24" ht="22.95" customHeight="1">
      <c r="D2" s="318" t="str">
        <f>_GENERAL!D2</f>
        <v>Área de la Presidenta: Igualdad y Diversidad, Hacienda y Proyectos Estratégicos</v>
      </c>
    </row>
    <row r="3" spans="1:24" ht="22.95" customHeight="1">
      <c r="D3" s="318" t="str">
        <f>_GENERAL!D3</f>
        <v>Dirección Insular de Hacienda</v>
      </c>
    </row>
    <row r="4" spans="1:24" ht="22.95" customHeight="1" thickBot="1">
      <c r="A4" s="23" t="s">
        <v>129</v>
      </c>
    </row>
    <row r="5" spans="1:24" ht="9" customHeight="1">
      <c r="B5" s="234"/>
      <c r="C5" s="235"/>
      <c r="D5" s="235"/>
      <c r="E5" s="235"/>
      <c r="F5" s="235"/>
      <c r="G5" s="235"/>
      <c r="H5" s="235"/>
      <c r="I5" s="236"/>
      <c r="K5" s="700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2"/>
    </row>
    <row r="6" spans="1:24" ht="30" customHeight="1">
      <c r="B6" s="237"/>
      <c r="C6" s="1" t="s">
        <v>2</v>
      </c>
      <c r="H6" s="1138">
        <f>ejercicio</f>
        <v>2025</v>
      </c>
      <c r="I6" s="238"/>
      <c r="K6" s="163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6"/>
    </row>
    <row r="7" spans="1:24" ht="30" customHeight="1">
      <c r="B7" s="237"/>
      <c r="C7" s="1" t="s">
        <v>3</v>
      </c>
      <c r="H7" s="1138"/>
      <c r="I7" s="238"/>
      <c r="K7" s="167"/>
      <c r="L7" s="164" t="s">
        <v>130</v>
      </c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9"/>
    </row>
    <row r="8" spans="1:24" ht="30" customHeight="1">
      <c r="B8" s="237"/>
      <c r="C8" s="240"/>
      <c r="H8" s="211"/>
      <c r="I8" s="238"/>
      <c r="K8" s="703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5"/>
    </row>
    <row r="9" spans="1:24" s="241" customFormat="1" ht="30" customHeight="1">
      <c r="A9" s="339"/>
      <c r="B9" s="915"/>
      <c r="C9" s="20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916"/>
      <c r="J9" s="339"/>
      <c r="K9" s="706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08"/>
    </row>
    <row r="10" spans="1:24" ht="7.2" customHeight="1">
      <c r="B10" s="237"/>
      <c r="I10" s="238"/>
      <c r="K10" s="706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08"/>
    </row>
    <row r="11" spans="1:24" s="27" customFormat="1" ht="30" customHeight="1">
      <c r="B11" s="10"/>
      <c r="C11" s="4" t="s">
        <v>399</v>
      </c>
      <c r="D11" s="4"/>
      <c r="E11" s="4"/>
      <c r="F11" s="4"/>
      <c r="G11" s="4"/>
      <c r="H11" s="4"/>
      <c r="I11" s="242"/>
      <c r="K11" s="706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8"/>
    </row>
    <row r="12" spans="1:24" s="27" customFormat="1" ht="30" customHeight="1">
      <c r="B12" s="10"/>
      <c r="I12" s="242"/>
      <c r="K12" s="706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8"/>
    </row>
    <row r="13" spans="1:24" ht="22.95" customHeight="1">
      <c r="B13" s="237"/>
      <c r="C13" s="526"/>
      <c r="D13" s="527"/>
      <c r="E13" s="747" t="s">
        <v>229</v>
      </c>
      <c r="F13" s="748" t="s">
        <v>230</v>
      </c>
      <c r="G13" s="749" t="s">
        <v>231</v>
      </c>
      <c r="H13" s="750" t="s">
        <v>232</v>
      </c>
      <c r="I13" s="238"/>
      <c r="K13" s="706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8"/>
    </row>
    <row r="14" spans="1:24" ht="22.95" customHeight="1">
      <c r="B14" s="237"/>
      <c r="C14" s="528" t="s">
        <v>400</v>
      </c>
      <c r="D14" s="529"/>
      <c r="E14" s="751">
        <f>ejercicio-2</f>
        <v>2023</v>
      </c>
      <c r="F14" s="752">
        <f>ejercicio-1</f>
        <v>2024</v>
      </c>
      <c r="G14" s="753">
        <f>ejercicio-1</f>
        <v>2024</v>
      </c>
      <c r="H14" s="754">
        <f>ejercicio</f>
        <v>2025</v>
      </c>
      <c r="I14" s="238"/>
      <c r="K14" s="706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8"/>
    </row>
    <row r="15" spans="1:24" ht="22.95" customHeight="1">
      <c r="B15" s="237"/>
      <c r="C15" s="504"/>
      <c r="D15" s="505"/>
      <c r="E15" s="531"/>
      <c r="F15" s="755"/>
      <c r="G15" s="532"/>
      <c r="H15" s="533"/>
      <c r="I15" s="238"/>
      <c r="K15" s="706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8"/>
    </row>
    <row r="16" spans="1:24" ht="22.95" customHeight="1">
      <c r="B16" s="237"/>
      <c r="C16" s="534" t="s">
        <v>401</v>
      </c>
      <c r="D16" s="535" t="s">
        <v>402</v>
      </c>
      <c r="E16" s="536">
        <f>SUM(E17:E23)</f>
        <v>78605.83</v>
      </c>
      <c r="F16" s="536">
        <f>SUM(F17:F23)</f>
        <v>68490.84</v>
      </c>
      <c r="G16" s="536">
        <f>SUM(G17:G23)</f>
        <v>73355.92</v>
      </c>
      <c r="H16" s="536">
        <f>SUM(H17:H23)</f>
        <v>65934.94</v>
      </c>
      <c r="I16" s="238"/>
      <c r="K16" s="706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8"/>
    </row>
    <row r="17" spans="2:24" ht="22.95" customHeight="1">
      <c r="B17" s="237"/>
      <c r="C17" s="507" t="s">
        <v>403</v>
      </c>
      <c r="D17" s="508" t="s">
        <v>404</v>
      </c>
      <c r="E17" s="184">
        <v>885.24</v>
      </c>
      <c r="F17" s="184">
        <v>0</v>
      </c>
      <c r="G17" s="184">
        <v>4253.4399999999996</v>
      </c>
      <c r="H17" s="184">
        <v>2753.45</v>
      </c>
      <c r="I17" s="238"/>
      <c r="K17" s="706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8"/>
    </row>
    <row r="18" spans="2:24" ht="22.95" customHeight="1">
      <c r="B18" s="237"/>
      <c r="C18" s="507" t="s">
        <v>405</v>
      </c>
      <c r="D18" s="508" t="s">
        <v>406</v>
      </c>
      <c r="E18" s="184">
        <v>0</v>
      </c>
      <c r="F18" s="184">
        <v>0</v>
      </c>
      <c r="G18" s="184">
        <v>0</v>
      </c>
      <c r="H18" s="184">
        <v>0</v>
      </c>
      <c r="I18" s="238"/>
      <c r="K18" s="706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8"/>
    </row>
    <row r="19" spans="2:24" ht="22.95" customHeight="1">
      <c r="B19" s="237"/>
      <c r="C19" s="507" t="s">
        <v>407</v>
      </c>
      <c r="D19" s="508" t="s">
        <v>408</v>
      </c>
      <c r="E19" s="184">
        <v>77720.59</v>
      </c>
      <c r="F19" s="184">
        <v>68490.84</v>
      </c>
      <c r="G19" s="184">
        <v>69102.48</v>
      </c>
      <c r="H19" s="184">
        <v>63181.49</v>
      </c>
      <c r="I19" s="238"/>
      <c r="K19" s="706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8"/>
    </row>
    <row r="20" spans="2:24" ht="22.95" customHeight="1">
      <c r="B20" s="237"/>
      <c r="C20" s="507" t="s">
        <v>409</v>
      </c>
      <c r="D20" s="508" t="s">
        <v>410</v>
      </c>
      <c r="E20" s="184">
        <v>0</v>
      </c>
      <c r="F20" s="184">
        <v>0</v>
      </c>
      <c r="G20" s="184">
        <v>0</v>
      </c>
      <c r="H20" s="184">
        <v>0</v>
      </c>
      <c r="I20" s="238"/>
      <c r="K20" s="706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8"/>
    </row>
    <row r="21" spans="2:24" ht="22.95" customHeight="1">
      <c r="B21" s="237"/>
      <c r="C21" s="507" t="s">
        <v>411</v>
      </c>
      <c r="D21" s="508" t="s">
        <v>412</v>
      </c>
      <c r="E21" s="184">
        <v>0</v>
      </c>
      <c r="F21" s="184">
        <v>0</v>
      </c>
      <c r="G21" s="184">
        <v>0</v>
      </c>
      <c r="H21" s="184">
        <v>0</v>
      </c>
      <c r="I21" s="238"/>
      <c r="K21" s="706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8"/>
    </row>
    <row r="22" spans="2:24" ht="22.95" customHeight="1">
      <c r="B22" s="237"/>
      <c r="C22" s="507" t="s">
        <v>413</v>
      </c>
      <c r="D22" s="508" t="s">
        <v>414</v>
      </c>
      <c r="E22" s="184">
        <v>0</v>
      </c>
      <c r="F22" s="184">
        <v>0</v>
      </c>
      <c r="G22" s="184">
        <v>0</v>
      </c>
      <c r="H22" s="184">
        <v>0</v>
      </c>
      <c r="I22" s="238"/>
      <c r="K22" s="706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8"/>
    </row>
    <row r="23" spans="2:24" ht="22.95" customHeight="1">
      <c r="B23" s="237"/>
      <c r="C23" s="507" t="s">
        <v>415</v>
      </c>
      <c r="D23" s="508" t="s">
        <v>416</v>
      </c>
      <c r="E23" s="184">
        <v>0</v>
      </c>
      <c r="F23" s="184">
        <v>0</v>
      </c>
      <c r="G23" s="184">
        <v>0</v>
      </c>
      <c r="H23" s="184">
        <v>0</v>
      </c>
      <c r="I23" s="238"/>
      <c r="K23" s="706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8"/>
    </row>
    <row r="24" spans="2:24" ht="22.95" customHeight="1">
      <c r="B24" s="237"/>
      <c r="C24" s="525"/>
      <c r="D24" s="339"/>
      <c r="E24" s="531"/>
      <c r="F24" s="531"/>
      <c r="G24" s="532"/>
      <c r="H24" s="533"/>
      <c r="I24" s="238"/>
      <c r="K24" s="706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8"/>
    </row>
    <row r="25" spans="2:24" ht="22.95" customHeight="1">
      <c r="B25" s="237"/>
      <c r="C25" s="534" t="s">
        <v>308</v>
      </c>
      <c r="D25" s="535" t="s">
        <v>417</v>
      </c>
      <c r="E25" s="536">
        <f>SUM(E26:E28)+SUM(E31:E34)</f>
        <v>548354.12</v>
      </c>
      <c r="F25" s="536">
        <f>SUM(F26:F28)+SUM(F31:F34)</f>
        <v>419931.19</v>
      </c>
      <c r="G25" s="536">
        <f>SUM(G26:G28)+SUM(G31:G34)</f>
        <v>654117.55000000005</v>
      </c>
      <c r="H25" s="536">
        <f>SUM(H26:H28)+SUM(H31:H34)</f>
        <v>483952.07999999996</v>
      </c>
      <c r="I25" s="238"/>
      <c r="K25" s="706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8"/>
    </row>
    <row r="26" spans="2:24" ht="22.95" customHeight="1">
      <c r="B26" s="237"/>
      <c r="C26" s="507" t="s">
        <v>403</v>
      </c>
      <c r="D26" s="508" t="s">
        <v>418</v>
      </c>
      <c r="E26" s="184">
        <v>49486.92</v>
      </c>
      <c r="F26" s="184">
        <v>50000</v>
      </c>
      <c r="G26" s="184">
        <v>50000</v>
      </c>
      <c r="H26" s="184">
        <v>52000</v>
      </c>
      <c r="I26" s="238"/>
      <c r="K26" s="706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8"/>
    </row>
    <row r="27" spans="2:24" ht="22.95" customHeight="1">
      <c r="B27" s="237"/>
      <c r="C27" s="507" t="s">
        <v>405</v>
      </c>
      <c r="D27" s="508" t="s">
        <v>419</v>
      </c>
      <c r="E27" s="184">
        <v>40</v>
      </c>
      <c r="F27" s="184">
        <v>0</v>
      </c>
      <c r="G27" s="184">
        <v>0</v>
      </c>
      <c r="H27" s="184">
        <v>0</v>
      </c>
      <c r="I27" s="238"/>
      <c r="K27" s="706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8"/>
    </row>
    <row r="28" spans="2:24" ht="22.95" customHeight="1">
      <c r="B28" s="237"/>
      <c r="C28" s="507" t="s">
        <v>407</v>
      </c>
      <c r="D28" s="508" t="s">
        <v>420</v>
      </c>
      <c r="E28" s="699">
        <f>E29+E30</f>
        <v>257305.59</v>
      </c>
      <c r="F28" s="699">
        <f>F29+F30</f>
        <v>224000</v>
      </c>
      <c r="G28" s="699">
        <f t="shared" ref="G28:H28" si="0">G29+G30</f>
        <v>213862.13</v>
      </c>
      <c r="H28" s="699">
        <f t="shared" si="0"/>
        <v>184655.99</v>
      </c>
      <c r="I28" s="238"/>
      <c r="K28" s="706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8"/>
    </row>
    <row r="29" spans="2:24" ht="22.95" customHeight="1">
      <c r="B29" s="237"/>
      <c r="C29" s="694" t="s">
        <v>237</v>
      </c>
      <c r="D29" s="695" t="s">
        <v>421</v>
      </c>
      <c r="E29" s="696">
        <v>244180.25</v>
      </c>
      <c r="F29" s="696">
        <v>209000</v>
      </c>
      <c r="G29" s="696">
        <v>209000.6</v>
      </c>
      <c r="H29" s="696">
        <v>184000</v>
      </c>
      <c r="I29" s="238"/>
      <c r="K29" s="706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8"/>
    </row>
    <row r="30" spans="2:24" ht="22.95" customHeight="1">
      <c r="B30" s="237"/>
      <c r="C30" s="692" t="s">
        <v>239</v>
      </c>
      <c r="D30" s="693" t="s">
        <v>422</v>
      </c>
      <c r="E30" s="697">
        <v>13125.34</v>
      </c>
      <c r="F30" s="697">
        <v>15000</v>
      </c>
      <c r="G30" s="698">
        <v>4861.53</v>
      </c>
      <c r="H30" s="698">
        <v>655.99</v>
      </c>
      <c r="I30" s="238"/>
      <c r="K30" s="706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8"/>
    </row>
    <row r="31" spans="2:24" ht="22.95" customHeight="1">
      <c r="B31" s="237"/>
      <c r="C31" s="507" t="s">
        <v>409</v>
      </c>
      <c r="D31" s="508" t="s">
        <v>423</v>
      </c>
      <c r="E31" s="184">
        <v>0</v>
      </c>
      <c r="F31" s="184">
        <v>0</v>
      </c>
      <c r="G31" s="184">
        <v>0</v>
      </c>
      <c r="H31" s="184">
        <v>0</v>
      </c>
      <c r="I31" s="238"/>
      <c r="K31" s="706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8"/>
    </row>
    <row r="32" spans="2:24" ht="22.95" customHeight="1">
      <c r="B32" s="237"/>
      <c r="C32" s="507" t="s">
        <v>411</v>
      </c>
      <c r="D32" s="508" t="s">
        <v>424</v>
      </c>
      <c r="E32" s="184">
        <v>0</v>
      </c>
      <c r="F32" s="184">
        <v>0</v>
      </c>
      <c r="G32" s="184">
        <v>0</v>
      </c>
      <c r="H32" s="184">
        <v>0</v>
      </c>
      <c r="I32" s="238"/>
      <c r="K32" s="709"/>
      <c r="L32" s="710"/>
      <c r="M32" s="710"/>
      <c r="N32" s="710"/>
      <c r="O32" s="710"/>
      <c r="P32" s="710"/>
      <c r="Q32" s="710"/>
      <c r="R32" s="710"/>
      <c r="S32" s="710"/>
      <c r="T32" s="710"/>
      <c r="U32" s="710"/>
      <c r="V32" s="710"/>
      <c r="W32" s="710"/>
      <c r="X32" s="711"/>
    </row>
    <row r="33" spans="2:24" ht="22.95" customHeight="1">
      <c r="B33" s="237"/>
      <c r="C33" s="507" t="s">
        <v>413</v>
      </c>
      <c r="D33" s="508" t="s">
        <v>425</v>
      </c>
      <c r="E33" s="184">
        <v>4209.41</v>
      </c>
      <c r="F33" s="184">
        <v>4200</v>
      </c>
      <c r="G33" s="184">
        <v>4200</v>
      </c>
      <c r="H33" s="184">
        <v>4200</v>
      </c>
      <c r="I33" s="238"/>
      <c r="K33" s="709"/>
      <c r="L33" s="710"/>
      <c r="M33" s="710"/>
      <c r="N33" s="710"/>
      <c r="O33" s="710"/>
      <c r="P33" s="710"/>
      <c r="Q33" s="710"/>
      <c r="R33" s="710"/>
      <c r="S33" s="710"/>
      <c r="T33" s="710"/>
      <c r="U33" s="710"/>
      <c r="V33" s="710"/>
      <c r="W33" s="710"/>
      <c r="X33" s="711"/>
    </row>
    <row r="34" spans="2:24" ht="22.95" customHeight="1">
      <c r="B34" s="237"/>
      <c r="C34" s="507" t="s">
        <v>415</v>
      </c>
      <c r="D34" s="508" t="s">
        <v>426</v>
      </c>
      <c r="E34" s="184">
        <v>237312.2</v>
      </c>
      <c r="F34" s="184">
        <v>141731.19</v>
      </c>
      <c r="G34" s="1137">
        <v>386055.42</v>
      </c>
      <c r="H34" s="184">
        <v>243096.09</v>
      </c>
      <c r="I34" s="238"/>
      <c r="K34" s="706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8"/>
    </row>
    <row r="35" spans="2:24" ht="22.95" customHeight="1">
      <c r="B35" s="237"/>
      <c r="C35" s="537"/>
      <c r="D35" s="339"/>
      <c r="E35" s="538"/>
      <c r="F35" s="538"/>
      <c r="G35" s="539"/>
      <c r="H35" s="540"/>
      <c r="I35" s="238"/>
      <c r="K35" s="706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8"/>
    </row>
    <row r="36" spans="2:24" ht="22.95" customHeight="1" thickBot="1">
      <c r="B36" s="237"/>
      <c r="C36" s="541" t="s">
        <v>427</v>
      </c>
      <c r="D36" s="542"/>
      <c r="E36" s="543">
        <f>E25+E16</f>
        <v>626959.94999999995</v>
      </c>
      <c r="F36" s="543">
        <f>F25+F16</f>
        <v>488422.03</v>
      </c>
      <c r="G36" s="543">
        <f>G25+G16</f>
        <v>727473.47000000009</v>
      </c>
      <c r="H36" s="543">
        <f>H25+H16</f>
        <v>549887.02</v>
      </c>
      <c r="I36" s="238"/>
      <c r="K36" s="706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8"/>
    </row>
    <row r="37" spans="2:24" ht="22.95" customHeight="1" thickBot="1">
      <c r="B37" s="258"/>
      <c r="C37" s="1154"/>
      <c r="D37" s="1154"/>
      <c r="E37" s="1154"/>
      <c r="F37" s="1154"/>
      <c r="G37" s="1154"/>
      <c r="H37" s="259"/>
      <c r="I37" s="260"/>
      <c r="K37" s="715"/>
      <c r="L37" s="716"/>
      <c r="M37" s="716"/>
      <c r="N37" s="716"/>
      <c r="O37" s="716"/>
      <c r="P37" s="716"/>
      <c r="Q37" s="716"/>
      <c r="R37" s="716"/>
      <c r="S37" s="716"/>
      <c r="T37" s="716"/>
      <c r="U37" s="716"/>
      <c r="V37" s="716"/>
      <c r="W37" s="716"/>
      <c r="X37" s="717"/>
    </row>
    <row r="38" spans="2:24" ht="22.95" customHeight="1">
      <c r="J38" s="23" t="s">
        <v>179</v>
      </c>
    </row>
    <row r="39" spans="2:24" ht="13.2">
      <c r="C39" s="19" t="s">
        <v>52</v>
      </c>
      <c r="H39" s="22" t="s">
        <v>428</v>
      </c>
    </row>
    <row r="40" spans="2:24" ht="13.2">
      <c r="C40" s="19" t="s">
        <v>54</v>
      </c>
    </row>
    <row r="41" spans="2:24" ht="13.2">
      <c r="C41" s="19" t="s">
        <v>55</v>
      </c>
    </row>
    <row r="42" spans="2:24" ht="13.2">
      <c r="C42" s="19" t="s">
        <v>56</v>
      </c>
    </row>
    <row r="43" spans="2:24" ht="13.2">
      <c r="C43" s="19" t="s">
        <v>57</v>
      </c>
    </row>
    <row r="44" spans="2:24" ht="66" customHeight="1">
      <c r="E44" s="544"/>
      <c r="F44" s="544"/>
      <c r="G44" s="545"/>
      <c r="H44" s="545"/>
    </row>
  </sheetData>
  <sheetProtection algorithmName="SHA-512" hashValue="9/GJnXC6NLbY+/Cc4oc6zUSHWtT6vv0jVSensEpHHSu92ZD1gYgL+eyjQ+LHl20ZwHjfQl1RPDVWRpekg33zWQ==" saltValue="WKfNFXlZQDB8WO5yjisl+Q==" spinCount="100000" sheet="1" objects="1" scenarios="1"/>
  <mergeCells count="3">
    <mergeCell ref="H6:H7"/>
    <mergeCell ref="D9:H9"/>
    <mergeCell ref="C37:G37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7" orientation="portrait" horizontalDpi="4294967292" verticalDpi="4294967292" r:id="rId1"/>
  <ignoredErrors>
    <ignoredError sqref="G28:H28 E28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2:X66"/>
  <sheetViews>
    <sheetView topLeftCell="A9" zoomScale="115" zoomScaleNormal="115" workbookViewId="0">
      <selection activeCell="H65" sqref="H65"/>
    </sheetView>
  </sheetViews>
  <sheetFormatPr baseColWidth="10" defaultColWidth="10.54296875" defaultRowHeight="22.95" customHeight="1"/>
  <cols>
    <col min="1" max="1" width="4.1796875" style="23" bestFit="1" customWidth="1"/>
    <col min="2" max="2" width="3.1796875" style="23" customWidth="1"/>
    <col min="3" max="3" width="13.54296875" style="23" customWidth="1"/>
    <col min="4" max="4" width="76.54296875" style="23" customWidth="1"/>
    <col min="5" max="8" width="18.453125" style="23" customWidth="1"/>
    <col min="9" max="9" width="3.453125" style="23" customWidth="1"/>
    <col min="10" max="16384" width="10.54296875" style="23"/>
  </cols>
  <sheetData>
    <row r="2" spans="1:24" ht="22.95" customHeight="1">
      <c r="D2" s="318" t="str">
        <f>_GENERAL!D2</f>
        <v>Área de la Presidenta: Igualdad y Diversidad, Hacienda y Proyectos Estratégicos</v>
      </c>
    </row>
    <row r="3" spans="1:24" ht="22.95" customHeight="1">
      <c r="D3" s="318" t="str">
        <f>_GENERAL!D3</f>
        <v>Dirección Insular de Hacienda</v>
      </c>
    </row>
    <row r="4" spans="1:24" ht="22.95" customHeight="1" thickBot="1">
      <c r="A4" s="23" t="s">
        <v>129</v>
      </c>
    </row>
    <row r="5" spans="1:24" ht="9" customHeight="1">
      <c r="B5" s="234"/>
      <c r="C5" s="235"/>
      <c r="D5" s="235"/>
      <c r="E5" s="235"/>
      <c r="F5" s="235"/>
      <c r="G5" s="235"/>
      <c r="H5" s="235"/>
      <c r="I5" s="236"/>
      <c r="K5" s="700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2"/>
    </row>
    <row r="6" spans="1:24" ht="30" customHeight="1">
      <c r="B6" s="237"/>
      <c r="C6" s="1" t="s">
        <v>2</v>
      </c>
      <c r="H6" s="1138">
        <f>ejercicio</f>
        <v>2025</v>
      </c>
      <c r="I6" s="238"/>
      <c r="K6" s="163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6"/>
    </row>
    <row r="7" spans="1:24" ht="30" customHeight="1">
      <c r="B7" s="237"/>
      <c r="C7" s="1" t="s">
        <v>3</v>
      </c>
      <c r="H7" s="1138"/>
      <c r="I7" s="238"/>
      <c r="K7" s="167"/>
      <c r="L7" s="164" t="s">
        <v>130</v>
      </c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9"/>
    </row>
    <row r="8" spans="1:24" ht="30" customHeight="1">
      <c r="B8" s="237"/>
      <c r="C8" s="240"/>
      <c r="H8" s="211"/>
      <c r="I8" s="238"/>
      <c r="K8" s="703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5"/>
    </row>
    <row r="9" spans="1:24" s="241" customFormat="1" ht="30" customHeight="1">
      <c r="A9" s="339"/>
      <c r="B9" s="915"/>
      <c r="C9" s="20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916"/>
      <c r="J9" s="339"/>
      <c r="K9" s="706"/>
      <c r="L9" s="707"/>
      <c r="M9" s="707"/>
      <c r="N9" s="707"/>
      <c r="O9" s="707"/>
      <c r="P9" s="707"/>
      <c r="Q9" s="707"/>
      <c r="R9" s="707"/>
      <c r="S9" s="707"/>
      <c r="T9" s="707"/>
      <c r="U9" s="707"/>
      <c r="V9" s="707"/>
      <c r="W9" s="707"/>
      <c r="X9" s="708"/>
    </row>
    <row r="10" spans="1:24" ht="7.2" customHeight="1">
      <c r="B10" s="237"/>
      <c r="I10" s="238"/>
      <c r="K10" s="706"/>
      <c r="L10" s="707"/>
      <c r="M10" s="707"/>
      <c r="N10" s="707"/>
      <c r="O10" s="707"/>
      <c r="P10" s="707"/>
      <c r="Q10" s="707"/>
      <c r="R10" s="707"/>
      <c r="S10" s="707"/>
      <c r="T10" s="707"/>
      <c r="U10" s="707"/>
      <c r="V10" s="707"/>
      <c r="W10" s="707"/>
      <c r="X10" s="708"/>
    </row>
    <row r="11" spans="1:24" s="27" customFormat="1" ht="30" customHeight="1">
      <c r="B11" s="10"/>
      <c r="C11" s="4" t="s">
        <v>429</v>
      </c>
      <c r="D11" s="4"/>
      <c r="E11" s="4"/>
      <c r="F11" s="4"/>
      <c r="G11" s="4"/>
      <c r="H11" s="4"/>
      <c r="I11" s="242"/>
      <c r="K11" s="706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8"/>
    </row>
    <row r="12" spans="1:24" s="27" customFormat="1" ht="30" customHeight="1">
      <c r="B12" s="10"/>
      <c r="I12" s="242"/>
      <c r="K12" s="1136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8"/>
    </row>
    <row r="13" spans="1:24" ht="22.95" customHeight="1">
      <c r="B13" s="237"/>
      <c r="C13" s="556"/>
      <c r="D13" s="557"/>
      <c r="E13" s="747" t="s">
        <v>229</v>
      </c>
      <c r="F13" s="748" t="s">
        <v>230</v>
      </c>
      <c r="G13" s="749" t="s">
        <v>231</v>
      </c>
      <c r="H13" s="750" t="s">
        <v>232</v>
      </c>
      <c r="I13" s="238"/>
      <c r="K13" s="706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8"/>
    </row>
    <row r="14" spans="1:24" ht="22.95" customHeight="1">
      <c r="B14" s="237"/>
      <c r="C14" s="558" t="s">
        <v>430</v>
      </c>
      <c r="D14" s="529"/>
      <c r="E14" s="751">
        <f>ejercicio-2</f>
        <v>2023</v>
      </c>
      <c r="F14" s="752">
        <f>ejercicio-1</f>
        <v>2024</v>
      </c>
      <c r="G14" s="753">
        <f>ejercicio-1</f>
        <v>2024</v>
      </c>
      <c r="H14" s="754">
        <f>ejercicio</f>
        <v>2025</v>
      </c>
      <c r="I14" s="238"/>
      <c r="K14" s="706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8"/>
    </row>
    <row r="15" spans="1:24" ht="22.95" customHeight="1">
      <c r="B15" s="237"/>
      <c r="C15" s="546"/>
      <c r="D15" s="505"/>
      <c r="E15" s="506"/>
      <c r="F15" s="506"/>
      <c r="G15" s="506"/>
      <c r="H15" s="547"/>
      <c r="I15" s="238"/>
      <c r="K15" s="706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8"/>
    </row>
    <row r="16" spans="1:24" ht="22.95" customHeight="1">
      <c r="B16" s="237"/>
      <c r="C16" s="548" t="s">
        <v>233</v>
      </c>
      <c r="D16" s="535" t="s">
        <v>431</v>
      </c>
      <c r="E16" s="559">
        <f>+E17+E24+E25</f>
        <v>265815.02</v>
      </c>
      <c r="F16" s="559">
        <f>+F17+F24+F25</f>
        <v>264038.49</v>
      </c>
      <c r="G16" s="559">
        <f>+G17+G24+G25</f>
        <v>284795.74</v>
      </c>
      <c r="H16" s="559">
        <f>+H17+H24+H25</f>
        <v>281562.16000000003</v>
      </c>
      <c r="I16" s="238"/>
      <c r="K16" s="1136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8"/>
    </row>
    <row r="17" spans="2:24" ht="22.95" customHeight="1">
      <c r="B17" s="237"/>
      <c r="C17" s="549" t="s">
        <v>432</v>
      </c>
      <c r="D17" s="508" t="s">
        <v>433</v>
      </c>
      <c r="E17" s="560">
        <f>+E18+E21+E22+E23</f>
        <v>239074.57</v>
      </c>
      <c r="F17" s="560">
        <f>+F18+F21+F22+F23</f>
        <v>240797.84</v>
      </c>
      <c r="G17" s="560">
        <f>+G18+G21+G22+G23</f>
        <v>263055.82</v>
      </c>
      <c r="H17" s="560">
        <f>+H18+H21+H22+H23</f>
        <v>263055.82</v>
      </c>
      <c r="I17" s="238"/>
      <c r="K17" s="706"/>
      <c r="L17" s="1135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8"/>
    </row>
    <row r="18" spans="2:24" ht="22.95" customHeight="1">
      <c r="B18" s="237"/>
      <c r="C18" s="549" t="s">
        <v>403</v>
      </c>
      <c r="D18" s="508" t="s">
        <v>434</v>
      </c>
      <c r="E18" s="560">
        <f>SUM(E19:E20)</f>
        <v>164141.44</v>
      </c>
      <c r="F18" s="560">
        <f>SUM(F19:F20)</f>
        <v>164141.44</v>
      </c>
      <c r="G18" s="560">
        <f>SUM(G19:G20)</f>
        <v>164141.44</v>
      </c>
      <c r="H18" s="561">
        <f>SUM(H19:H20)</f>
        <v>164141.44</v>
      </c>
      <c r="I18" s="238"/>
      <c r="K18" s="706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8"/>
    </row>
    <row r="19" spans="2:24" ht="22.95" customHeight="1">
      <c r="B19" s="237"/>
      <c r="C19" s="550" t="s">
        <v>235</v>
      </c>
      <c r="D19" s="551" t="s">
        <v>434</v>
      </c>
      <c r="E19" s="562">
        <v>164141.44</v>
      </c>
      <c r="F19" s="562">
        <v>164141.44</v>
      </c>
      <c r="G19" s="562">
        <v>164141.44</v>
      </c>
      <c r="H19" s="562">
        <v>164141.44</v>
      </c>
      <c r="I19" s="238"/>
      <c r="K19" s="706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8"/>
    </row>
    <row r="20" spans="2:24" ht="22.95" customHeight="1">
      <c r="B20" s="237"/>
      <c r="C20" s="552" t="s">
        <v>247</v>
      </c>
      <c r="D20" s="553" t="s">
        <v>435</v>
      </c>
      <c r="E20" s="563">
        <v>0</v>
      </c>
      <c r="F20" s="563">
        <v>0</v>
      </c>
      <c r="G20" s="563">
        <v>0</v>
      </c>
      <c r="H20" s="563">
        <v>0</v>
      </c>
      <c r="I20" s="238"/>
      <c r="K20" s="706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8"/>
    </row>
    <row r="21" spans="2:24" ht="22.95" customHeight="1">
      <c r="B21" s="237"/>
      <c r="C21" s="549" t="s">
        <v>405</v>
      </c>
      <c r="D21" s="508" t="s">
        <v>436</v>
      </c>
      <c r="E21" s="564">
        <v>33301.699999999997</v>
      </c>
      <c r="F21" s="564">
        <v>76656.399999999994</v>
      </c>
      <c r="G21" s="564">
        <v>74784.320000000007</v>
      </c>
      <c r="H21" s="564">
        <v>98914.38</v>
      </c>
      <c r="I21" s="238"/>
      <c r="K21" s="1136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8"/>
    </row>
    <row r="22" spans="2:24" ht="22.95" customHeight="1">
      <c r="B22" s="237"/>
      <c r="C22" s="549" t="s">
        <v>407</v>
      </c>
      <c r="D22" s="508" t="s">
        <v>437</v>
      </c>
      <c r="E22" s="564">
        <v>0</v>
      </c>
      <c r="F22" s="564">
        <v>0</v>
      </c>
      <c r="G22" s="564">
        <v>0</v>
      </c>
      <c r="H22" s="564">
        <v>0</v>
      </c>
      <c r="I22" s="238"/>
      <c r="K22" s="706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8"/>
    </row>
    <row r="23" spans="2:24" ht="22.95" customHeight="1">
      <c r="B23" s="237"/>
      <c r="C23" s="549" t="s">
        <v>409</v>
      </c>
      <c r="D23" s="508" t="s">
        <v>438</v>
      </c>
      <c r="E23" s="564">
        <v>41631.43</v>
      </c>
      <c r="F23" s="564">
        <v>0</v>
      </c>
      <c r="G23" s="564">
        <v>24130.06</v>
      </c>
      <c r="H23" s="564">
        <v>0</v>
      </c>
      <c r="I23" s="238"/>
      <c r="K23" s="1136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8"/>
    </row>
    <row r="24" spans="2:24" ht="22.95" customHeight="1">
      <c r="B24" s="237"/>
      <c r="C24" s="549" t="s">
        <v>439</v>
      </c>
      <c r="D24" s="508" t="s">
        <v>440</v>
      </c>
      <c r="E24" s="564">
        <v>0</v>
      </c>
      <c r="F24" s="564">
        <v>0</v>
      </c>
      <c r="G24" s="564">
        <v>0</v>
      </c>
      <c r="H24" s="564">
        <v>0</v>
      </c>
      <c r="I24" s="238"/>
      <c r="K24" s="706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8"/>
    </row>
    <row r="25" spans="2:24" ht="22.95" customHeight="1">
      <c r="B25" s="237"/>
      <c r="C25" s="549" t="s">
        <v>441</v>
      </c>
      <c r="D25" s="508" t="s">
        <v>442</v>
      </c>
      <c r="E25" s="564">
        <v>26740.45</v>
      </c>
      <c r="F25" s="564">
        <v>23240.65</v>
      </c>
      <c r="G25" s="564">
        <v>21739.919999999998</v>
      </c>
      <c r="H25" s="564">
        <v>18506.34</v>
      </c>
      <c r="I25" s="238"/>
      <c r="K25" s="706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8"/>
    </row>
    <row r="26" spans="2:24" ht="22.95" customHeight="1">
      <c r="B26" s="237"/>
      <c r="C26" s="554"/>
      <c r="D26" s="339"/>
      <c r="E26" s="565"/>
      <c r="F26" s="565"/>
      <c r="G26" s="565"/>
      <c r="H26" s="566"/>
      <c r="I26" s="238"/>
      <c r="K26" s="706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8"/>
    </row>
    <row r="27" spans="2:24" ht="22.95" customHeight="1">
      <c r="B27" s="237"/>
      <c r="C27" s="548" t="s">
        <v>443</v>
      </c>
      <c r="D27" s="535" t="s">
        <v>444</v>
      </c>
      <c r="E27" s="559">
        <f>E28+E29+E35+E36+E39</f>
        <v>45731.14</v>
      </c>
      <c r="F27" s="559">
        <f>F28+F29+F35+F36+F39</f>
        <v>45213.539999999994</v>
      </c>
      <c r="G27" s="559">
        <f>G28+G29+G35+G36+G39</f>
        <v>44765.259999999995</v>
      </c>
      <c r="H27" s="559">
        <f>H28+H29+H35+H36+H39</f>
        <v>43799.38</v>
      </c>
      <c r="I27" s="238"/>
      <c r="K27" s="706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8"/>
    </row>
    <row r="28" spans="2:24" ht="22.95" customHeight="1">
      <c r="B28" s="237"/>
      <c r="C28" s="549" t="s">
        <v>403</v>
      </c>
      <c r="D28" s="508" t="s">
        <v>445</v>
      </c>
      <c r="E28" s="564">
        <v>34726.519999999997</v>
      </c>
      <c r="F28" s="564">
        <v>34726.519999999997</v>
      </c>
      <c r="G28" s="564">
        <v>34726.519999999997</v>
      </c>
      <c r="H28" s="567">
        <v>34726.519999999997</v>
      </c>
      <c r="I28" s="238"/>
      <c r="K28" s="706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8"/>
    </row>
    <row r="29" spans="2:24" ht="22.95" customHeight="1">
      <c r="B29" s="237"/>
      <c r="C29" s="549" t="s">
        <v>405</v>
      </c>
      <c r="D29" s="508" t="s">
        <v>446</v>
      </c>
      <c r="E29" s="560">
        <f>SUM(E30:E32)</f>
        <v>3545</v>
      </c>
      <c r="F29" s="560">
        <f>SUM(F30:F32)</f>
        <v>3545</v>
      </c>
      <c r="G29" s="560">
        <f>SUM(G30:G32)</f>
        <v>3545</v>
      </c>
      <c r="H29" s="560">
        <f>SUM(H30:H32)</f>
        <v>3545</v>
      </c>
      <c r="I29" s="238"/>
      <c r="K29" s="706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8"/>
    </row>
    <row r="30" spans="2:24" ht="22.95" customHeight="1">
      <c r="B30" s="237"/>
      <c r="C30" s="552" t="s">
        <v>235</v>
      </c>
      <c r="D30" s="516" t="s">
        <v>447</v>
      </c>
      <c r="E30" s="563">
        <v>0</v>
      </c>
      <c r="F30" s="563">
        <v>0</v>
      </c>
      <c r="G30" s="563">
        <v>0</v>
      </c>
      <c r="H30" s="563">
        <v>0</v>
      </c>
      <c r="I30" s="238"/>
      <c r="K30" s="709"/>
      <c r="L30" s="710"/>
      <c r="M30" s="710"/>
      <c r="N30" s="710"/>
      <c r="O30" s="710"/>
      <c r="P30" s="710"/>
      <c r="Q30" s="710"/>
      <c r="R30" s="710"/>
      <c r="S30" s="710"/>
      <c r="T30" s="710"/>
      <c r="U30" s="710"/>
      <c r="V30" s="710"/>
      <c r="W30" s="710"/>
      <c r="X30" s="711"/>
    </row>
    <row r="31" spans="2:24" ht="22.95" customHeight="1">
      <c r="B31" s="237"/>
      <c r="C31" s="552" t="s">
        <v>247</v>
      </c>
      <c r="D31" s="516" t="s">
        <v>448</v>
      </c>
      <c r="E31" s="563">
        <v>0</v>
      </c>
      <c r="F31" s="563">
        <v>0</v>
      </c>
      <c r="G31" s="563">
        <v>0</v>
      </c>
      <c r="H31" s="563">
        <v>0</v>
      </c>
      <c r="I31" s="238"/>
      <c r="K31" s="709"/>
      <c r="L31" s="710"/>
      <c r="M31" s="710"/>
      <c r="N31" s="710"/>
      <c r="O31" s="710"/>
      <c r="P31" s="710"/>
      <c r="Q31" s="710"/>
      <c r="R31" s="710"/>
      <c r="S31" s="710"/>
      <c r="T31" s="710"/>
      <c r="U31" s="710"/>
      <c r="V31" s="710"/>
      <c r="W31" s="710"/>
      <c r="X31" s="711"/>
    </row>
    <row r="32" spans="2:24" ht="22.95" customHeight="1">
      <c r="B32" s="237"/>
      <c r="C32" s="552" t="s">
        <v>249</v>
      </c>
      <c r="D32" s="516" t="s">
        <v>449</v>
      </c>
      <c r="E32" s="759">
        <f>SUM(E33:E34)</f>
        <v>3545</v>
      </c>
      <c r="F32" s="759">
        <f t="shared" ref="F32:H32" si="0">SUM(F33:F34)</f>
        <v>3545</v>
      </c>
      <c r="G32" s="759">
        <f t="shared" si="0"/>
        <v>3545</v>
      </c>
      <c r="H32" s="759">
        <f t="shared" si="0"/>
        <v>3545</v>
      </c>
      <c r="I32" s="238"/>
      <c r="K32" s="706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8"/>
    </row>
    <row r="33" spans="2:24" ht="22.95" customHeight="1">
      <c r="B33" s="237"/>
      <c r="C33" s="756" t="s">
        <v>237</v>
      </c>
      <c r="D33" s="757" t="s">
        <v>450</v>
      </c>
      <c r="E33" s="758">
        <v>0</v>
      </c>
      <c r="F33" s="758">
        <v>0</v>
      </c>
      <c r="G33" s="758">
        <v>0</v>
      </c>
      <c r="H33" s="758">
        <v>0</v>
      </c>
      <c r="I33" s="238"/>
      <c r="K33" s="706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8"/>
    </row>
    <row r="34" spans="2:24" ht="22.95" customHeight="1">
      <c r="B34" s="237"/>
      <c r="C34" s="692" t="s">
        <v>239</v>
      </c>
      <c r="D34" s="693" t="s">
        <v>451</v>
      </c>
      <c r="E34" s="697">
        <v>3545</v>
      </c>
      <c r="F34" s="697">
        <v>3545</v>
      </c>
      <c r="G34" s="698">
        <v>3545</v>
      </c>
      <c r="H34" s="698">
        <v>3545</v>
      </c>
      <c r="I34" s="238"/>
      <c r="K34" s="706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8"/>
    </row>
    <row r="35" spans="2:24" ht="22.95" customHeight="1">
      <c r="B35" s="237"/>
      <c r="C35" s="549" t="s">
        <v>407</v>
      </c>
      <c r="D35" s="508" t="s">
        <v>452</v>
      </c>
      <c r="E35" s="564">
        <v>0</v>
      </c>
      <c r="F35" s="564">
        <v>0</v>
      </c>
      <c r="G35" s="564">
        <v>0</v>
      </c>
      <c r="H35" s="564">
        <v>0</v>
      </c>
      <c r="I35" s="238"/>
      <c r="K35" s="706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8"/>
    </row>
    <row r="36" spans="2:24" ht="22.95" customHeight="1">
      <c r="B36" s="237"/>
      <c r="C36" s="549" t="s">
        <v>409</v>
      </c>
      <c r="D36" s="508" t="s">
        <v>453</v>
      </c>
      <c r="E36" s="560">
        <f>SUM(E37:E38)</f>
        <v>7459.62</v>
      </c>
      <c r="F36" s="560">
        <f>SUM(F37:F38)</f>
        <v>6942.02</v>
      </c>
      <c r="G36" s="560">
        <f>SUM(G37:G38)</f>
        <v>6493.74</v>
      </c>
      <c r="H36" s="560">
        <f>SUM(H37:H38)</f>
        <v>5527.86</v>
      </c>
      <c r="I36" s="238"/>
      <c r="K36" s="706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8"/>
    </row>
    <row r="37" spans="2:24" ht="22.95" customHeight="1">
      <c r="B37" s="237"/>
      <c r="C37" s="694" t="s">
        <v>237</v>
      </c>
      <c r="D37" s="695" t="s">
        <v>454</v>
      </c>
      <c r="E37" s="696">
        <v>7459.62</v>
      </c>
      <c r="F37" s="696">
        <v>6942.02</v>
      </c>
      <c r="G37" s="696">
        <v>6493.74</v>
      </c>
      <c r="H37" s="696">
        <v>5527.86</v>
      </c>
      <c r="I37" s="238"/>
      <c r="K37" s="706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8"/>
    </row>
    <row r="38" spans="2:24" ht="22.95" customHeight="1">
      <c r="B38" s="237"/>
      <c r="C38" s="692" t="s">
        <v>239</v>
      </c>
      <c r="D38" s="693" t="s">
        <v>455</v>
      </c>
      <c r="E38" s="697"/>
      <c r="F38" s="697"/>
      <c r="G38" s="698"/>
      <c r="H38" s="698"/>
      <c r="I38" s="238"/>
      <c r="K38" s="706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8"/>
    </row>
    <row r="39" spans="2:24" ht="22.95" customHeight="1">
      <c r="B39" s="237"/>
      <c r="C39" s="549" t="s">
        <v>411</v>
      </c>
      <c r="D39" s="508" t="s">
        <v>456</v>
      </c>
      <c r="E39" s="564">
        <v>0</v>
      </c>
      <c r="F39" s="564">
        <v>0</v>
      </c>
      <c r="G39" s="564">
        <v>0</v>
      </c>
      <c r="H39" s="564">
        <v>0</v>
      </c>
      <c r="I39" s="238"/>
      <c r="K39" s="706"/>
      <c r="L39" s="707"/>
      <c r="M39" s="1135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8"/>
    </row>
    <row r="40" spans="2:24" ht="22.95" customHeight="1">
      <c r="B40" s="237"/>
      <c r="C40" s="555"/>
      <c r="D40" s="1"/>
      <c r="E40" s="565"/>
      <c r="F40" s="565"/>
      <c r="G40" s="565"/>
      <c r="H40" s="566"/>
      <c r="I40" s="238"/>
      <c r="K40" s="712"/>
      <c r="L40" s="713"/>
      <c r="M40" s="713"/>
      <c r="N40" s="713"/>
      <c r="O40" s="713"/>
      <c r="P40" s="713"/>
      <c r="Q40" s="713"/>
      <c r="R40" s="713"/>
      <c r="S40" s="713"/>
      <c r="T40" s="713"/>
      <c r="U40" s="713"/>
      <c r="V40" s="713"/>
      <c r="W40" s="713"/>
      <c r="X40" s="714"/>
    </row>
    <row r="41" spans="2:24" ht="22.95" customHeight="1">
      <c r="B41" s="237"/>
      <c r="C41" s="548" t="s">
        <v>318</v>
      </c>
      <c r="D41" s="535" t="s">
        <v>457</v>
      </c>
      <c r="E41" s="559">
        <f>E42+E43+E49+E50+E51+E56</f>
        <v>315413.78999999998</v>
      </c>
      <c r="F41" s="559">
        <f>F42+F43+F49+F50+F51+F56</f>
        <v>179170</v>
      </c>
      <c r="G41" s="559">
        <f>G42+G43+G49+G50+G51+G56</f>
        <v>397912.47000000003</v>
      </c>
      <c r="H41" s="559">
        <f>H42+H43+H49+H50+H51+H56</f>
        <v>224525.47999999998</v>
      </c>
      <c r="I41" s="238"/>
      <c r="K41" s="712"/>
      <c r="L41" s="713"/>
      <c r="M41" s="713"/>
      <c r="N41" s="713"/>
      <c r="O41" s="713"/>
      <c r="P41" s="713"/>
      <c r="Q41" s="713"/>
      <c r="R41" s="713"/>
      <c r="S41" s="713"/>
      <c r="T41" s="713"/>
      <c r="U41" s="713"/>
      <c r="V41" s="713"/>
      <c r="W41" s="713"/>
      <c r="X41" s="714"/>
    </row>
    <row r="42" spans="2:24" ht="22.95" customHeight="1">
      <c r="B42" s="237"/>
      <c r="C42" s="549" t="s">
        <v>403</v>
      </c>
      <c r="D42" s="508" t="s">
        <v>458</v>
      </c>
      <c r="E42" s="564">
        <v>4805.05</v>
      </c>
      <c r="F42" s="564">
        <v>0</v>
      </c>
      <c r="G42" s="564">
        <v>0</v>
      </c>
      <c r="H42" s="567">
        <v>0</v>
      </c>
      <c r="I42" s="238"/>
      <c r="K42" s="712"/>
      <c r="L42" s="713"/>
      <c r="M42" s="713"/>
      <c r="N42" s="713"/>
      <c r="O42" s="713"/>
      <c r="P42" s="713"/>
      <c r="Q42" s="713"/>
      <c r="R42" s="713"/>
      <c r="S42" s="713"/>
      <c r="T42" s="713"/>
      <c r="U42" s="713"/>
      <c r="V42" s="713"/>
      <c r="W42" s="713"/>
      <c r="X42" s="714"/>
    </row>
    <row r="43" spans="2:24" ht="22.95" customHeight="1">
      <c r="B43" s="237"/>
      <c r="C43" s="549" t="s">
        <v>405</v>
      </c>
      <c r="D43" s="508" t="s">
        <v>459</v>
      </c>
      <c r="E43" s="560">
        <f>SUM(E44:E46)</f>
        <v>190308.41</v>
      </c>
      <c r="F43" s="560">
        <f>SUM(F44:F46)</f>
        <v>117470</v>
      </c>
      <c r="G43" s="560">
        <f>SUM(G44:G46)</f>
        <v>339854.33</v>
      </c>
      <c r="H43" s="560">
        <f>SUM(H44:H46)</f>
        <v>162920</v>
      </c>
      <c r="I43" s="238"/>
      <c r="K43" s="712"/>
      <c r="L43" s="713"/>
      <c r="M43" s="713"/>
      <c r="N43" s="713"/>
      <c r="O43" s="713"/>
      <c r="P43" s="713"/>
      <c r="Q43" s="713"/>
      <c r="R43" s="713"/>
      <c r="S43" s="713"/>
      <c r="T43" s="713"/>
      <c r="U43" s="713"/>
      <c r="V43" s="713"/>
      <c r="W43" s="713"/>
      <c r="X43" s="714"/>
    </row>
    <row r="44" spans="2:24" ht="22.95" customHeight="1">
      <c r="B44" s="237"/>
      <c r="C44" s="552" t="s">
        <v>235</v>
      </c>
      <c r="D44" s="516" t="s">
        <v>447</v>
      </c>
      <c r="E44" s="563">
        <v>0</v>
      </c>
      <c r="F44" s="563">
        <v>0</v>
      </c>
      <c r="G44" s="563">
        <v>0</v>
      </c>
      <c r="H44" s="563">
        <v>0</v>
      </c>
      <c r="I44" s="238"/>
      <c r="K44" s="712"/>
      <c r="L44" s="713"/>
      <c r="M44" s="713"/>
      <c r="N44" s="713"/>
      <c r="O44" s="713"/>
      <c r="P44" s="713"/>
      <c r="Q44" s="713"/>
      <c r="R44" s="713"/>
      <c r="S44" s="713"/>
      <c r="T44" s="713"/>
      <c r="U44" s="713"/>
      <c r="V44" s="713"/>
      <c r="W44" s="713"/>
      <c r="X44" s="714"/>
    </row>
    <row r="45" spans="2:24" ht="22.95" customHeight="1">
      <c r="B45" s="237"/>
      <c r="C45" s="552" t="s">
        <v>247</v>
      </c>
      <c r="D45" s="516" t="s">
        <v>448</v>
      </c>
      <c r="E45" s="563">
        <v>0</v>
      </c>
      <c r="F45" s="563">
        <v>0</v>
      </c>
      <c r="G45" s="563">
        <v>0</v>
      </c>
      <c r="H45" s="563">
        <v>0</v>
      </c>
      <c r="I45" s="238"/>
      <c r="K45" s="712"/>
      <c r="L45" s="713"/>
      <c r="M45" s="713"/>
      <c r="N45" s="713"/>
      <c r="O45" s="713"/>
      <c r="P45" s="713"/>
      <c r="Q45" s="713"/>
      <c r="R45" s="713"/>
      <c r="S45" s="713"/>
      <c r="T45" s="713"/>
      <c r="U45" s="713"/>
      <c r="V45" s="713"/>
      <c r="W45" s="713"/>
      <c r="X45" s="714"/>
    </row>
    <row r="46" spans="2:24" ht="22.95" customHeight="1">
      <c r="B46" s="237"/>
      <c r="C46" s="552" t="s">
        <v>249</v>
      </c>
      <c r="D46" s="516" t="s">
        <v>460</v>
      </c>
      <c r="E46" s="759">
        <f>SUM(E47:E48)</f>
        <v>190308.41</v>
      </c>
      <c r="F46" s="759">
        <f t="shared" ref="F46:H46" si="1">SUM(F47:F48)</f>
        <v>117470</v>
      </c>
      <c r="G46" s="759">
        <f t="shared" si="1"/>
        <v>339854.33</v>
      </c>
      <c r="H46" s="759">
        <f t="shared" si="1"/>
        <v>162920</v>
      </c>
      <c r="I46" s="238"/>
      <c r="K46" s="712"/>
      <c r="L46" s="713"/>
      <c r="M46" s="713"/>
      <c r="N46" s="713"/>
      <c r="O46" s="713"/>
      <c r="P46" s="713"/>
      <c r="Q46" s="713"/>
      <c r="R46" s="713"/>
      <c r="S46" s="713"/>
      <c r="T46" s="713"/>
      <c r="U46" s="713"/>
      <c r="V46" s="713"/>
      <c r="W46" s="713"/>
      <c r="X46" s="714"/>
    </row>
    <row r="47" spans="2:24" ht="22.95" customHeight="1">
      <c r="B47" s="237"/>
      <c r="C47" s="756" t="s">
        <v>237</v>
      </c>
      <c r="D47" s="757" t="s">
        <v>461</v>
      </c>
      <c r="E47" s="758">
        <v>185254.81</v>
      </c>
      <c r="F47" s="758">
        <v>115000</v>
      </c>
      <c r="G47" s="758">
        <v>337534.33</v>
      </c>
      <c r="H47" s="758">
        <v>160600</v>
      </c>
      <c r="I47" s="238"/>
      <c r="K47" s="712"/>
      <c r="L47" s="713"/>
      <c r="M47" s="713"/>
      <c r="N47" s="713"/>
      <c r="O47" s="713"/>
      <c r="P47" s="713"/>
      <c r="Q47" s="713"/>
      <c r="R47" s="713"/>
      <c r="S47" s="713"/>
      <c r="T47" s="713"/>
      <c r="U47" s="713"/>
      <c r="V47" s="713"/>
      <c r="W47" s="713"/>
      <c r="X47" s="714"/>
    </row>
    <row r="48" spans="2:24" ht="22.95" customHeight="1">
      <c r="B48" s="237"/>
      <c r="C48" s="692" t="s">
        <v>239</v>
      </c>
      <c r="D48" s="693" t="s">
        <v>462</v>
      </c>
      <c r="E48" s="697">
        <v>5053.6000000000004</v>
      </c>
      <c r="F48" s="697">
        <v>2470</v>
      </c>
      <c r="G48" s="698">
        <v>2320</v>
      </c>
      <c r="H48" s="698">
        <v>2320</v>
      </c>
      <c r="I48" s="238"/>
      <c r="K48" s="712"/>
      <c r="L48" s="713"/>
      <c r="M48" s="713"/>
      <c r="N48" s="713"/>
      <c r="O48" s="713"/>
      <c r="P48" s="713"/>
      <c r="Q48" s="713"/>
      <c r="R48" s="713"/>
      <c r="S48" s="713"/>
      <c r="T48" s="713"/>
      <c r="U48" s="713"/>
      <c r="V48" s="713"/>
      <c r="W48" s="713"/>
      <c r="X48" s="714"/>
    </row>
    <row r="49" spans="2:24" ht="22.95" customHeight="1">
      <c r="B49" s="237"/>
      <c r="C49" s="549" t="s">
        <v>407</v>
      </c>
      <c r="D49" s="508" t="s">
        <v>463</v>
      </c>
      <c r="E49" s="564">
        <v>0</v>
      </c>
      <c r="F49" s="564">
        <v>0</v>
      </c>
      <c r="G49" s="564">
        <v>0</v>
      </c>
      <c r="H49" s="564">
        <v>0</v>
      </c>
      <c r="I49" s="238"/>
      <c r="K49" s="712"/>
      <c r="L49" s="713"/>
      <c r="M49" s="713"/>
      <c r="N49" s="713"/>
      <c r="O49" s="713"/>
      <c r="P49" s="713"/>
      <c r="Q49" s="713"/>
      <c r="R49" s="713"/>
      <c r="S49" s="713"/>
      <c r="T49" s="713"/>
      <c r="U49" s="713"/>
      <c r="V49" s="713"/>
      <c r="W49" s="713"/>
      <c r="X49" s="714"/>
    </row>
    <row r="50" spans="2:24" ht="22.95" customHeight="1">
      <c r="B50" s="237"/>
      <c r="C50" s="549" t="s">
        <v>409</v>
      </c>
      <c r="D50" s="508" t="s">
        <v>464</v>
      </c>
      <c r="E50" s="564">
        <v>0</v>
      </c>
      <c r="F50" s="564">
        <v>0</v>
      </c>
      <c r="G50" s="564">
        <v>0</v>
      </c>
      <c r="H50" s="564">
        <v>0</v>
      </c>
      <c r="I50" s="238"/>
      <c r="K50" s="712"/>
      <c r="L50" s="713"/>
      <c r="M50" s="713"/>
      <c r="N50" s="713"/>
      <c r="O50" s="713"/>
      <c r="P50" s="713"/>
      <c r="Q50" s="713"/>
      <c r="R50" s="713"/>
      <c r="S50" s="713"/>
      <c r="T50" s="713"/>
      <c r="U50" s="713"/>
      <c r="V50" s="713"/>
      <c r="W50" s="713"/>
      <c r="X50" s="714"/>
    </row>
    <row r="51" spans="2:24" ht="22.95" customHeight="1">
      <c r="B51" s="237"/>
      <c r="C51" s="549" t="s">
        <v>411</v>
      </c>
      <c r="D51" s="508" t="s">
        <v>465</v>
      </c>
      <c r="E51" s="560">
        <f>E52+SUM(E53:E53)</f>
        <v>120300.32999999999</v>
      </c>
      <c r="F51" s="560">
        <f>F52+SUM(F53:F53)</f>
        <v>61700</v>
      </c>
      <c r="G51" s="560">
        <f>G52+SUM(G53:G53)</f>
        <v>58058.14</v>
      </c>
      <c r="H51" s="561">
        <f>H52+SUM(H53:H53)</f>
        <v>61605.479999999996</v>
      </c>
      <c r="I51" s="238"/>
      <c r="K51" s="712"/>
      <c r="L51" s="713"/>
      <c r="M51" s="713"/>
      <c r="N51" s="713"/>
      <c r="O51" s="713"/>
      <c r="P51" s="713"/>
      <c r="Q51" s="713"/>
      <c r="R51" s="713"/>
      <c r="S51" s="713"/>
      <c r="T51" s="713"/>
      <c r="U51" s="713"/>
      <c r="V51" s="713"/>
      <c r="W51" s="713"/>
      <c r="X51" s="714"/>
    </row>
    <row r="52" spans="2:24" ht="22.95" customHeight="1">
      <c r="B52" s="237"/>
      <c r="C52" s="552" t="s">
        <v>235</v>
      </c>
      <c r="D52" s="516" t="s">
        <v>466</v>
      </c>
      <c r="E52" s="563">
        <v>11077.79</v>
      </c>
      <c r="F52" s="563">
        <v>9000</v>
      </c>
      <c r="G52" s="563">
        <v>20768.29</v>
      </c>
      <c r="H52" s="563">
        <v>21393.1</v>
      </c>
      <c r="I52" s="238"/>
      <c r="K52" s="712"/>
      <c r="L52" s="713"/>
      <c r="M52" s="713"/>
      <c r="N52" s="713"/>
      <c r="O52" s="713"/>
      <c r="P52" s="713"/>
      <c r="Q52" s="713"/>
      <c r="R52" s="713"/>
      <c r="S52" s="713"/>
      <c r="T52" s="713"/>
      <c r="U52" s="713"/>
      <c r="V52" s="713"/>
      <c r="W52" s="713"/>
      <c r="X52" s="714"/>
    </row>
    <row r="53" spans="2:24" ht="22.95" customHeight="1">
      <c r="B53" s="237"/>
      <c r="C53" s="552" t="s">
        <v>247</v>
      </c>
      <c r="D53" s="516" t="s">
        <v>467</v>
      </c>
      <c r="E53" s="759">
        <f>SUM(E54:E55)</f>
        <v>109222.54</v>
      </c>
      <c r="F53" s="759">
        <f>SUM(F54:F55)</f>
        <v>52700</v>
      </c>
      <c r="G53" s="759">
        <f>SUM(G54:G55)</f>
        <v>37289.85</v>
      </c>
      <c r="H53" s="759">
        <f>SUM(H54:H55)</f>
        <v>40212.379999999997</v>
      </c>
      <c r="I53" s="238"/>
      <c r="K53" s="712"/>
      <c r="L53" s="713"/>
      <c r="M53" s="713"/>
      <c r="N53" s="713"/>
      <c r="O53" s="713"/>
      <c r="P53" s="713"/>
      <c r="Q53" s="713"/>
      <c r="R53" s="713"/>
      <c r="S53" s="713"/>
      <c r="T53" s="713"/>
      <c r="U53" s="713"/>
      <c r="V53" s="713"/>
      <c r="W53" s="713"/>
      <c r="X53" s="714"/>
    </row>
    <row r="54" spans="2:24" ht="22.95" customHeight="1">
      <c r="B54" s="237"/>
      <c r="C54" s="788" t="s">
        <v>237</v>
      </c>
      <c r="D54" s="789" t="s">
        <v>468</v>
      </c>
      <c r="E54" s="790"/>
      <c r="F54" s="790"/>
      <c r="G54" s="791"/>
      <c r="H54" s="792"/>
      <c r="I54" s="238"/>
      <c r="K54" s="712"/>
      <c r="L54" s="713"/>
      <c r="M54" s="713"/>
      <c r="N54" s="713"/>
      <c r="O54" s="713"/>
      <c r="P54" s="713"/>
      <c r="Q54" s="713"/>
      <c r="R54" s="713"/>
      <c r="S54" s="713"/>
      <c r="T54" s="713"/>
      <c r="U54" s="713"/>
      <c r="V54" s="713"/>
      <c r="W54" s="713"/>
      <c r="X54" s="714"/>
    </row>
    <row r="55" spans="2:24" ht="22.95" customHeight="1">
      <c r="B55" s="237"/>
      <c r="C55" s="788" t="s">
        <v>239</v>
      </c>
      <c r="D55" s="789" t="s">
        <v>469</v>
      </c>
      <c r="E55" s="790">
        <v>109222.54</v>
      </c>
      <c r="F55" s="790">
        <v>52700</v>
      </c>
      <c r="G55" s="791">
        <v>37289.85</v>
      </c>
      <c r="H55" s="792">
        <v>40212.379999999997</v>
      </c>
      <c r="I55" s="238"/>
      <c r="K55" s="712"/>
      <c r="L55" s="713"/>
      <c r="M55" s="713"/>
      <c r="N55" s="713"/>
      <c r="O55" s="713"/>
      <c r="P55" s="713"/>
      <c r="Q55" s="713"/>
      <c r="R55" s="713"/>
      <c r="S55" s="713"/>
      <c r="T55" s="713"/>
      <c r="U55" s="713"/>
      <c r="V55" s="713"/>
      <c r="W55" s="713"/>
      <c r="X55" s="714"/>
    </row>
    <row r="56" spans="2:24" ht="22.95" customHeight="1">
      <c r="B56" s="237"/>
      <c r="C56" s="549" t="s">
        <v>413</v>
      </c>
      <c r="D56" s="508" t="s">
        <v>425</v>
      </c>
      <c r="E56" s="564">
        <v>0</v>
      </c>
      <c r="F56" s="564">
        <v>0</v>
      </c>
      <c r="G56" s="564">
        <v>0</v>
      </c>
      <c r="H56" s="564">
        <v>0</v>
      </c>
      <c r="I56" s="238"/>
      <c r="K56" s="712"/>
      <c r="L56" s="713"/>
      <c r="M56" s="713"/>
      <c r="N56" s="713"/>
      <c r="O56" s="713"/>
      <c r="P56" s="713"/>
      <c r="Q56" s="713"/>
      <c r="R56" s="713"/>
      <c r="S56" s="713"/>
      <c r="T56" s="713"/>
      <c r="U56" s="713"/>
      <c r="V56" s="713"/>
      <c r="W56" s="713"/>
      <c r="X56" s="714"/>
    </row>
    <row r="57" spans="2:24" ht="22.95" customHeight="1">
      <c r="B57" s="237"/>
      <c r="C57" s="546"/>
      <c r="D57" s="505"/>
      <c r="E57" s="565"/>
      <c r="F57" s="565"/>
      <c r="G57" s="565"/>
      <c r="H57" s="566"/>
      <c r="I57" s="238"/>
      <c r="K57" s="712"/>
      <c r="L57" s="713"/>
      <c r="M57" s="713"/>
      <c r="N57" s="713"/>
      <c r="O57" s="713"/>
      <c r="P57" s="713"/>
      <c r="Q57" s="713"/>
      <c r="R57" s="713"/>
      <c r="S57" s="713"/>
      <c r="T57" s="713"/>
      <c r="U57" s="713"/>
      <c r="V57" s="713"/>
      <c r="W57" s="713"/>
      <c r="X57" s="714"/>
    </row>
    <row r="58" spans="2:24" ht="22.95" customHeight="1" thickBot="1">
      <c r="B58" s="237"/>
      <c r="C58" s="541" t="s">
        <v>470</v>
      </c>
      <c r="D58" s="542"/>
      <c r="E58" s="568">
        <f>E16+E27+E41</f>
        <v>626959.94999999995</v>
      </c>
      <c r="F58" s="568">
        <f>F16+F27+F41</f>
        <v>488422.02999999997</v>
      </c>
      <c r="G58" s="568">
        <f>G16+G27+G41</f>
        <v>727473.47</v>
      </c>
      <c r="H58" s="568">
        <f>H16+H27+H41</f>
        <v>549887.02</v>
      </c>
      <c r="I58" s="238"/>
      <c r="K58" s="712"/>
      <c r="L58" s="713"/>
      <c r="M58" s="713"/>
      <c r="N58" s="713"/>
      <c r="O58" s="713"/>
      <c r="P58" s="713"/>
      <c r="Q58" s="713"/>
      <c r="R58" s="713"/>
      <c r="S58" s="713"/>
      <c r="T58" s="713"/>
      <c r="U58" s="713"/>
      <c r="V58" s="713"/>
      <c r="W58" s="713"/>
      <c r="X58" s="714"/>
    </row>
    <row r="59" spans="2:24" ht="22.95" customHeight="1" thickBot="1">
      <c r="B59" s="258"/>
      <c r="C59" s="1154"/>
      <c r="D59" s="1154"/>
      <c r="E59" s="1154"/>
      <c r="F59" s="1154"/>
      <c r="G59" s="1154"/>
      <c r="H59" s="259"/>
      <c r="I59" s="260"/>
      <c r="K59" s="715"/>
      <c r="L59" s="716"/>
      <c r="M59" s="716"/>
      <c r="N59" s="716"/>
      <c r="O59" s="716"/>
      <c r="P59" s="716"/>
      <c r="Q59" s="716"/>
      <c r="R59" s="716"/>
      <c r="S59" s="716"/>
      <c r="T59" s="716"/>
      <c r="U59" s="716"/>
      <c r="V59" s="716"/>
      <c r="W59" s="716"/>
      <c r="X59" s="717"/>
    </row>
    <row r="60" spans="2:24" ht="22.95" customHeight="1">
      <c r="J60" s="23" t="s">
        <v>179</v>
      </c>
    </row>
    <row r="61" spans="2:24" ht="13.2">
      <c r="C61" s="19" t="s">
        <v>52</v>
      </c>
      <c r="H61" s="22" t="s">
        <v>471</v>
      </c>
    </row>
    <row r="62" spans="2:24" ht="13.2">
      <c r="C62" s="19" t="s">
        <v>54</v>
      </c>
    </row>
    <row r="63" spans="2:24" ht="13.2">
      <c r="C63" s="19" t="s">
        <v>55</v>
      </c>
    </row>
    <row r="64" spans="2:24" ht="13.2">
      <c r="C64" s="19" t="s">
        <v>56</v>
      </c>
    </row>
    <row r="65" spans="3:8" ht="13.2">
      <c r="C65" s="19" t="s">
        <v>57</v>
      </c>
    </row>
    <row r="66" spans="3:8" ht="22.95" customHeight="1">
      <c r="E66" s="545"/>
      <c r="F66" s="545"/>
      <c r="G66" s="545"/>
      <c r="H66" s="545"/>
    </row>
  </sheetData>
  <sheetProtection algorithmName="SHA-512" hashValue="F57aABlM8FkJ+Q74F5bpBHhsxrEPfOuDRMg9VZKshskj5ZegAdpw22bpsmddcMp9XfiVXpn48Q+eNd23FgK9dA==" saltValue="cEvUigqOHEAP1rHDfvx3HQ==" spinCount="100000" sheet="1" objects="1" scenarios="1"/>
  <mergeCells count="3">
    <mergeCell ref="H6:H7"/>
    <mergeCell ref="D9:H9"/>
    <mergeCell ref="C59:G59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7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2:AP61"/>
  <sheetViews>
    <sheetView topLeftCell="A4" zoomScale="80" zoomScaleNormal="80" workbookViewId="0">
      <selection activeCell="J17" sqref="J17"/>
    </sheetView>
  </sheetViews>
  <sheetFormatPr baseColWidth="10" defaultColWidth="10.54296875" defaultRowHeight="22.95" customHeight="1"/>
  <cols>
    <col min="1" max="1" width="4.1796875" style="31" bestFit="1" customWidth="1"/>
    <col min="2" max="2" width="3.1796875" style="31" customWidth="1"/>
    <col min="3" max="3" width="13.54296875" style="31" customWidth="1"/>
    <col min="4" max="4" width="42.54296875" style="31" customWidth="1"/>
    <col min="5" max="6" width="12.54296875" style="32" customWidth="1"/>
    <col min="7" max="8" width="15.54296875" style="32" customWidth="1"/>
    <col min="9" max="18" width="12.54296875" style="32" customWidth="1"/>
    <col min="19" max="19" width="3.453125" style="31" customWidth="1"/>
    <col min="20" max="16384" width="10.54296875" style="31"/>
  </cols>
  <sheetData>
    <row r="2" spans="1:42" ht="22.95" customHeight="1">
      <c r="D2" s="318" t="str">
        <f>_GENERAL!D2</f>
        <v>Área de la Presidenta: Igualdad y Diversidad, Hacienda y Proyectos Estratégicos</v>
      </c>
    </row>
    <row r="3" spans="1:42" ht="22.95" customHeight="1">
      <c r="D3" s="318" t="str">
        <f>_GENERAL!D3</f>
        <v>Dirección Insular de Hacienda</v>
      </c>
    </row>
    <row r="4" spans="1:42" ht="22.95" customHeight="1" thickBot="1">
      <c r="A4" s="31" t="s">
        <v>129</v>
      </c>
    </row>
    <row r="5" spans="1:42" ht="9" customHeight="1">
      <c r="B5" s="33"/>
      <c r="C5" s="34"/>
      <c r="D5" s="34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6"/>
      <c r="U5" s="700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2"/>
    </row>
    <row r="6" spans="1:42" ht="30" customHeight="1">
      <c r="B6" s="37"/>
      <c r="C6" s="28" t="s">
        <v>2</v>
      </c>
      <c r="R6" s="1138">
        <f>ejercicio</f>
        <v>2025</v>
      </c>
      <c r="S6" s="38"/>
      <c r="U6" s="163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6"/>
    </row>
    <row r="7" spans="1:42" ht="30" customHeight="1">
      <c r="B7" s="37"/>
      <c r="C7" s="28" t="s">
        <v>3</v>
      </c>
      <c r="R7" s="1138"/>
      <c r="S7" s="38"/>
      <c r="U7" s="167"/>
      <c r="V7" s="164" t="s">
        <v>130</v>
      </c>
      <c r="W7" s="168"/>
      <c r="X7" s="168"/>
      <c r="Y7" s="168"/>
      <c r="Z7" s="168"/>
      <c r="AA7" s="168"/>
      <c r="AB7" s="168"/>
      <c r="AC7" s="168"/>
      <c r="AD7" s="168"/>
      <c r="AE7" s="168"/>
      <c r="AF7" s="168"/>
      <c r="AG7" s="168"/>
      <c r="AH7" s="169"/>
    </row>
    <row r="8" spans="1:42" ht="30" customHeight="1">
      <c r="B8" s="37"/>
      <c r="C8" s="39"/>
      <c r="R8" s="40"/>
      <c r="S8" s="38"/>
      <c r="U8" s="703"/>
      <c r="V8" s="704"/>
      <c r="W8" s="704"/>
      <c r="X8" s="704"/>
      <c r="Y8" s="704"/>
      <c r="Z8" s="704"/>
      <c r="AA8" s="704"/>
      <c r="AB8" s="704"/>
      <c r="AC8" s="704"/>
      <c r="AD8" s="704"/>
      <c r="AE8" s="704"/>
      <c r="AF8" s="704"/>
      <c r="AG8" s="704"/>
      <c r="AH8" s="705"/>
    </row>
    <row r="9" spans="1:42" s="26" customFormat="1" ht="30" customHeight="1">
      <c r="A9" s="892"/>
      <c r="B9" s="824"/>
      <c r="C9" s="21" t="s">
        <v>59</v>
      </c>
      <c r="D9" s="1155" t="str">
        <f>Entidad</f>
        <v>Fundación Canaria TENERIFE RURAL</v>
      </c>
      <c r="E9" s="1155"/>
      <c r="F9" s="1155"/>
      <c r="G9" s="1155"/>
      <c r="H9" s="1155"/>
      <c r="I9" s="1155"/>
      <c r="J9" s="1155"/>
      <c r="K9" s="1155"/>
      <c r="L9" s="1155"/>
      <c r="M9" s="1155"/>
      <c r="N9" s="1155"/>
      <c r="O9" s="1155"/>
      <c r="P9" s="1155"/>
      <c r="Q9" s="1155"/>
      <c r="R9" s="1155"/>
      <c r="S9" s="825"/>
      <c r="T9" s="892"/>
      <c r="U9" s="706"/>
      <c r="V9" s="707"/>
      <c r="W9" s="707"/>
      <c r="X9" s="707"/>
      <c r="Y9" s="707"/>
      <c r="Z9" s="707"/>
      <c r="AA9" s="707"/>
      <c r="AB9" s="707"/>
      <c r="AC9" s="707"/>
      <c r="AD9" s="707"/>
      <c r="AE9" s="707"/>
      <c r="AF9" s="707"/>
      <c r="AG9" s="707"/>
      <c r="AH9" s="708"/>
      <c r="AI9" s="892"/>
      <c r="AJ9" s="892"/>
      <c r="AK9" s="892"/>
      <c r="AL9" s="892"/>
      <c r="AM9" s="892"/>
      <c r="AN9" s="892"/>
      <c r="AO9" s="892"/>
      <c r="AP9" s="892"/>
    </row>
    <row r="10" spans="1:42" ht="7.2" customHeight="1">
      <c r="B10" s="37"/>
      <c r="S10" s="38"/>
      <c r="U10" s="706"/>
      <c r="V10" s="707"/>
      <c r="W10" s="707"/>
      <c r="X10" s="707"/>
      <c r="Y10" s="707"/>
      <c r="Z10" s="707"/>
      <c r="AA10" s="707"/>
      <c r="AB10" s="707"/>
      <c r="AC10" s="707"/>
      <c r="AD10" s="707"/>
      <c r="AE10" s="707"/>
      <c r="AF10" s="707"/>
      <c r="AG10" s="707"/>
      <c r="AH10" s="708"/>
    </row>
    <row r="11" spans="1:42" s="45" customFormat="1" ht="30" customHeight="1">
      <c r="B11" s="41"/>
      <c r="C11" s="42" t="s">
        <v>472</v>
      </c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4"/>
      <c r="U11" s="706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7"/>
      <c r="AG11" s="707"/>
      <c r="AH11" s="708"/>
    </row>
    <row r="12" spans="1:42" s="45" customFormat="1" ht="30" customHeight="1">
      <c r="B12" s="41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44"/>
      <c r="U12" s="706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7"/>
      <c r="AG12" s="707"/>
      <c r="AH12" s="708"/>
      <c r="AP12" s="315" t="s">
        <v>473</v>
      </c>
    </row>
    <row r="13" spans="1:42" s="48" customFormat="1" ht="19.2" customHeight="1">
      <c r="B13" s="46"/>
      <c r="C13" s="152"/>
      <c r="D13" s="152"/>
      <c r="E13" s="152"/>
      <c r="F13" s="152"/>
      <c r="G13" s="152"/>
      <c r="H13" s="153" t="s">
        <v>474</v>
      </c>
      <c r="I13" s="1198" t="s">
        <v>475</v>
      </c>
      <c r="J13" s="1199"/>
      <c r="K13" s="1199"/>
      <c r="L13" s="1199"/>
      <c r="M13" s="1200"/>
      <c r="N13" s="154"/>
      <c r="O13" s="955"/>
      <c r="P13" s="155" t="s">
        <v>476</v>
      </c>
      <c r="Q13" s="156">
        <f>ejercicio-1</f>
        <v>2024</v>
      </c>
      <c r="R13" s="273" t="s">
        <v>477</v>
      </c>
      <c r="S13" s="47"/>
      <c r="U13" s="706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7"/>
      <c r="AG13" s="707"/>
      <c r="AH13" s="708"/>
      <c r="AP13" s="315">
        <f>ejercicio-1</f>
        <v>2024</v>
      </c>
    </row>
    <row r="14" spans="1:42" s="17" customFormat="1" ht="19.2" customHeight="1">
      <c r="B14" s="46"/>
      <c r="C14" s="157"/>
      <c r="D14" s="157"/>
      <c r="E14" s="157"/>
      <c r="F14" s="157"/>
      <c r="G14" s="157"/>
      <c r="H14" s="158" t="s">
        <v>478</v>
      </c>
      <c r="I14" s="159"/>
      <c r="J14" s="160"/>
      <c r="K14" s="160"/>
      <c r="L14" s="160"/>
      <c r="M14" s="161"/>
      <c r="N14" s="159"/>
      <c r="O14" s="160"/>
      <c r="P14" s="160"/>
      <c r="Q14" s="160"/>
      <c r="R14" s="161"/>
      <c r="S14" s="47"/>
      <c r="U14" s="706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7"/>
      <c r="AG14" s="707"/>
      <c r="AH14" s="708"/>
      <c r="AP14" s="315">
        <f>ejercicio</f>
        <v>2025</v>
      </c>
    </row>
    <row r="15" spans="1:42" s="17" customFormat="1" ht="19.2" customHeight="1">
      <c r="B15" s="46"/>
      <c r="C15" s="162" t="s">
        <v>479</v>
      </c>
      <c r="D15" s="162" t="s">
        <v>480</v>
      </c>
      <c r="E15" s="162" t="s">
        <v>481</v>
      </c>
      <c r="F15" s="162" t="s">
        <v>482</v>
      </c>
      <c r="G15" s="162" t="s">
        <v>483</v>
      </c>
      <c r="H15" s="162">
        <f>ejercicio-1</f>
        <v>2024</v>
      </c>
      <c r="I15" s="162">
        <f>+ejercicio</f>
        <v>2025</v>
      </c>
      <c r="J15" s="162">
        <f>ejercicio+1</f>
        <v>2026</v>
      </c>
      <c r="K15" s="162">
        <f>ejercicio+2</f>
        <v>2027</v>
      </c>
      <c r="L15" s="162">
        <f>ejercicio+3</f>
        <v>2028</v>
      </c>
      <c r="M15" s="162" t="s">
        <v>484</v>
      </c>
      <c r="N15" s="162">
        <f>+ejercicio</f>
        <v>2025</v>
      </c>
      <c r="O15" s="162">
        <f>ejercicio+1</f>
        <v>2026</v>
      </c>
      <c r="P15" s="162">
        <f>ejercicio+2</f>
        <v>2027</v>
      </c>
      <c r="Q15" s="162">
        <f>ejercicio+3</f>
        <v>2028</v>
      </c>
      <c r="R15" s="162" t="s">
        <v>484</v>
      </c>
      <c r="S15" s="47"/>
      <c r="U15" s="706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7"/>
      <c r="AG15" s="707"/>
      <c r="AH15" s="708"/>
      <c r="AP15" s="315">
        <f>ejercicio+1</f>
        <v>2026</v>
      </c>
    </row>
    <row r="16" spans="1:42" ht="22.95" customHeight="1">
      <c r="B16" s="46"/>
      <c r="C16" s="956"/>
      <c r="D16" s="957" t="s">
        <v>485</v>
      </c>
      <c r="E16" s="958">
        <v>2025</v>
      </c>
      <c r="F16" s="958">
        <v>2025</v>
      </c>
      <c r="G16" s="959">
        <v>5000</v>
      </c>
      <c r="H16" s="959"/>
      <c r="I16" s="959">
        <v>5000</v>
      </c>
      <c r="J16" s="959"/>
      <c r="K16" s="959"/>
      <c r="L16" s="959"/>
      <c r="M16" s="959"/>
      <c r="N16" s="959"/>
      <c r="O16" s="959"/>
      <c r="P16" s="959"/>
      <c r="Q16" s="959"/>
      <c r="R16" s="959"/>
      <c r="S16" s="38"/>
      <c r="U16" s="706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7"/>
      <c r="AG16" s="707"/>
      <c r="AH16" s="708"/>
      <c r="AP16" s="315">
        <f>ejercicio+2</f>
        <v>2027</v>
      </c>
    </row>
    <row r="17" spans="2:42" ht="22.95" customHeight="1">
      <c r="B17" s="46"/>
      <c r="C17" s="960"/>
      <c r="D17" s="961" t="s">
        <v>486</v>
      </c>
      <c r="E17" s="962">
        <v>2025</v>
      </c>
      <c r="F17" s="962">
        <v>2025</v>
      </c>
      <c r="G17" s="963">
        <v>5000</v>
      </c>
      <c r="H17" s="963"/>
      <c r="I17" s="963">
        <v>5000</v>
      </c>
      <c r="J17" s="963"/>
      <c r="K17" s="963"/>
      <c r="L17" s="963"/>
      <c r="M17" s="963"/>
      <c r="N17" s="963"/>
      <c r="O17" s="963"/>
      <c r="P17" s="963"/>
      <c r="Q17" s="963"/>
      <c r="R17" s="963"/>
      <c r="S17" s="38"/>
      <c r="U17" s="706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7"/>
      <c r="AG17" s="707"/>
      <c r="AH17" s="708"/>
      <c r="AP17" s="315">
        <f>ejercicio+3</f>
        <v>2028</v>
      </c>
    </row>
    <row r="18" spans="2:42" ht="22.95" customHeight="1">
      <c r="B18" s="46"/>
      <c r="C18" s="960"/>
      <c r="D18" s="961"/>
      <c r="E18" s="962"/>
      <c r="F18" s="962"/>
      <c r="G18" s="963"/>
      <c r="H18" s="963"/>
      <c r="I18" s="963"/>
      <c r="J18" s="963"/>
      <c r="K18" s="963"/>
      <c r="L18" s="963"/>
      <c r="M18" s="963"/>
      <c r="N18" s="963"/>
      <c r="O18" s="963"/>
      <c r="P18" s="963"/>
      <c r="Q18" s="963"/>
      <c r="R18" s="963"/>
      <c r="S18" s="38"/>
      <c r="U18" s="706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7"/>
      <c r="AG18" s="707"/>
      <c r="AH18" s="708"/>
      <c r="AP18" s="315" t="s">
        <v>487</v>
      </c>
    </row>
    <row r="19" spans="2:42" ht="22.95" customHeight="1">
      <c r="B19" s="46"/>
      <c r="C19" s="960"/>
      <c r="D19" s="961"/>
      <c r="E19" s="962"/>
      <c r="F19" s="962"/>
      <c r="G19" s="963"/>
      <c r="H19" s="963"/>
      <c r="I19" s="963"/>
      <c r="J19" s="963"/>
      <c r="K19" s="963"/>
      <c r="L19" s="963"/>
      <c r="M19" s="963"/>
      <c r="N19" s="963"/>
      <c r="O19" s="963"/>
      <c r="P19" s="963"/>
      <c r="Q19" s="963"/>
      <c r="R19" s="963"/>
      <c r="S19" s="38"/>
      <c r="U19" s="706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7"/>
      <c r="AG19" s="707"/>
      <c r="AH19" s="708"/>
    </row>
    <row r="20" spans="2:42" ht="22.95" customHeight="1">
      <c r="B20" s="46"/>
      <c r="C20" s="960"/>
      <c r="D20" s="961"/>
      <c r="E20" s="962"/>
      <c r="F20" s="962"/>
      <c r="G20" s="963"/>
      <c r="H20" s="963"/>
      <c r="I20" s="963"/>
      <c r="J20" s="963"/>
      <c r="K20" s="963"/>
      <c r="L20" s="963"/>
      <c r="M20" s="963"/>
      <c r="N20" s="963"/>
      <c r="O20" s="963"/>
      <c r="P20" s="963"/>
      <c r="Q20" s="963"/>
      <c r="R20" s="963"/>
      <c r="S20" s="38"/>
      <c r="U20" s="706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7"/>
      <c r="AG20" s="707"/>
      <c r="AH20" s="708"/>
    </row>
    <row r="21" spans="2:42" ht="22.95" customHeight="1">
      <c r="B21" s="46"/>
      <c r="C21" s="960"/>
      <c r="D21" s="961"/>
      <c r="E21" s="962"/>
      <c r="F21" s="962"/>
      <c r="G21" s="963"/>
      <c r="H21" s="963"/>
      <c r="I21" s="963"/>
      <c r="J21" s="963"/>
      <c r="K21" s="963"/>
      <c r="L21" s="963"/>
      <c r="M21" s="963"/>
      <c r="N21" s="963"/>
      <c r="O21" s="963"/>
      <c r="P21" s="963"/>
      <c r="Q21" s="963"/>
      <c r="R21" s="963"/>
      <c r="S21" s="38"/>
      <c r="U21" s="706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7"/>
      <c r="AG21" s="707"/>
      <c r="AH21" s="708"/>
    </row>
    <row r="22" spans="2:42" ht="22.95" customHeight="1">
      <c r="B22" s="46"/>
      <c r="C22" s="960"/>
      <c r="D22" s="961"/>
      <c r="E22" s="962"/>
      <c r="F22" s="962"/>
      <c r="G22" s="963"/>
      <c r="H22" s="963"/>
      <c r="I22" s="963"/>
      <c r="J22" s="963"/>
      <c r="K22" s="963"/>
      <c r="L22" s="963"/>
      <c r="M22" s="963"/>
      <c r="N22" s="963"/>
      <c r="O22" s="963"/>
      <c r="P22" s="963"/>
      <c r="Q22" s="963"/>
      <c r="R22" s="963"/>
      <c r="S22" s="38"/>
      <c r="U22" s="706"/>
      <c r="V22" s="707"/>
      <c r="W22" s="707"/>
      <c r="X22" s="707"/>
      <c r="Y22" s="707"/>
      <c r="Z22" s="707"/>
      <c r="AA22" s="707"/>
      <c r="AB22" s="707"/>
      <c r="AC22" s="707"/>
      <c r="AD22" s="707"/>
      <c r="AE22" s="707"/>
      <c r="AF22" s="707"/>
      <c r="AG22" s="707"/>
      <c r="AH22" s="708"/>
    </row>
    <row r="23" spans="2:42" ht="22.95" customHeight="1">
      <c r="B23" s="46"/>
      <c r="C23" s="960"/>
      <c r="D23" s="961"/>
      <c r="E23" s="962"/>
      <c r="F23" s="962"/>
      <c r="G23" s="963"/>
      <c r="H23" s="963"/>
      <c r="I23" s="963"/>
      <c r="J23" s="963"/>
      <c r="K23" s="963"/>
      <c r="L23" s="963"/>
      <c r="M23" s="963"/>
      <c r="N23" s="963"/>
      <c r="O23" s="963"/>
      <c r="P23" s="963"/>
      <c r="Q23" s="963"/>
      <c r="R23" s="963"/>
      <c r="S23" s="38"/>
      <c r="U23" s="706"/>
      <c r="V23" s="707"/>
      <c r="W23" s="707"/>
      <c r="X23" s="707"/>
      <c r="Y23" s="707"/>
      <c r="Z23" s="707"/>
      <c r="AA23" s="707"/>
      <c r="AB23" s="707"/>
      <c r="AC23" s="707"/>
      <c r="AD23" s="707"/>
      <c r="AE23" s="707"/>
      <c r="AF23" s="707"/>
      <c r="AG23" s="707"/>
      <c r="AH23" s="708"/>
    </row>
    <row r="24" spans="2:42" ht="22.95" customHeight="1">
      <c r="B24" s="46"/>
      <c r="C24" s="960"/>
      <c r="D24" s="961"/>
      <c r="E24" s="962"/>
      <c r="F24" s="962"/>
      <c r="G24" s="963"/>
      <c r="H24" s="963"/>
      <c r="I24" s="963"/>
      <c r="J24" s="963"/>
      <c r="K24" s="963"/>
      <c r="L24" s="963"/>
      <c r="M24" s="963"/>
      <c r="N24" s="963"/>
      <c r="O24" s="963"/>
      <c r="P24" s="963"/>
      <c r="Q24" s="963"/>
      <c r="R24" s="963"/>
      <c r="S24" s="38"/>
      <c r="U24" s="706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7"/>
      <c r="AG24" s="707"/>
      <c r="AH24" s="708"/>
    </row>
    <row r="25" spans="2:42" ht="22.95" customHeight="1">
      <c r="B25" s="46"/>
      <c r="C25" s="960"/>
      <c r="D25" s="961"/>
      <c r="E25" s="962"/>
      <c r="F25" s="962"/>
      <c r="G25" s="963"/>
      <c r="H25" s="963"/>
      <c r="I25" s="963"/>
      <c r="J25" s="963"/>
      <c r="K25" s="963"/>
      <c r="L25" s="963"/>
      <c r="M25" s="963"/>
      <c r="N25" s="963"/>
      <c r="O25" s="963"/>
      <c r="P25" s="963"/>
      <c r="Q25" s="963"/>
      <c r="R25" s="963"/>
      <c r="S25" s="38"/>
      <c r="U25" s="706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7"/>
      <c r="AG25" s="707"/>
      <c r="AH25" s="708"/>
    </row>
    <row r="26" spans="2:42" ht="22.95" customHeight="1">
      <c r="B26" s="46"/>
      <c r="C26" s="960"/>
      <c r="D26" s="961"/>
      <c r="E26" s="962"/>
      <c r="F26" s="962"/>
      <c r="G26" s="963"/>
      <c r="H26" s="963"/>
      <c r="I26" s="963"/>
      <c r="J26" s="963"/>
      <c r="K26" s="963"/>
      <c r="L26" s="963"/>
      <c r="M26" s="963"/>
      <c r="N26" s="963"/>
      <c r="O26" s="963"/>
      <c r="P26" s="963"/>
      <c r="Q26" s="963"/>
      <c r="R26" s="963"/>
      <c r="S26" s="38"/>
      <c r="U26" s="706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7"/>
      <c r="AG26" s="707"/>
      <c r="AH26" s="708"/>
    </row>
    <row r="27" spans="2:42" ht="22.95" customHeight="1">
      <c r="B27" s="46"/>
      <c r="C27" s="960"/>
      <c r="D27" s="961"/>
      <c r="E27" s="962"/>
      <c r="F27" s="962"/>
      <c r="G27" s="963"/>
      <c r="H27" s="963"/>
      <c r="I27" s="963"/>
      <c r="J27" s="963"/>
      <c r="K27" s="963"/>
      <c r="L27" s="963"/>
      <c r="M27" s="963"/>
      <c r="N27" s="963"/>
      <c r="O27" s="963"/>
      <c r="P27" s="963"/>
      <c r="Q27" s="963"/>
      <c r="R27" s="963"/>
      <c r="S27" s="38"/>
      <c r="U27" s="706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7"/>
      <c r="AG27" s="707"/>
      <c r="AH27" s="708"/>
    </row>
    <row r="28" spans="2:42" ht="22.95" customHeight="1">
      <c r="B28" s="46"/>
      <c r="C28" s="960"/>
      <c r="D28" s="961"/>
      <c r="E28" s="962"/>
      <c r="F28" s="962"/>
      <c r="G28" s="963"/>
      <c r="H28" s="963"/>
      <c r="I28" s="963"/>
      <c r="J28" s="963"/>
      <c r="K28" s="963"/>
      <c r="L28" s="963"/>
      <c r="M28" s="963"/>
      <c r="N28" s="963"/>
      <c r="O28" s="963"/>
      <c r="P28" s="963"/>
      <c r="Q28" s="963"/>
      <c r="R28" s="963"/>
      <c r="S28" s="38"/>
      <c r="U28" s="706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7"/>
      <c r="AG28" s="707"/>
      <c r="AH28" s="708"/>
    </row>
    <row r="29" spans="2:42" ht="22.95" customHeight="1">
      <c r="B29" s="46"/>
      <c r="C29" s="960"/>
      <c r="D29" s="961"/>
      <c r="E29" s="962"/>
      <c r="F29" s="962"/>
      <c r="G29" s="963"/>
      <c r="H29" s="963"/>
      <c r="I29" s="963"/>
      <c r="J29" s="963"/>
      <c r="K29" s="963"/>
      <c r="L29" s="963"/>
      <c r="M29" s="963"/>
      <c r="N29" s="963"/>
      <c r="O29" s="963"/>
      <c r="P29" s="963"/>
      <c r="Q29" s="963"/>
      <c r="R29" s="963"/>
      <c r="S29" s="38"/>
      <c r="U29" s="706"/>
      <c r="V29" s="707"/>
      <c r="W29" s="707"/>
      <c r="X29" s="707"/>
      <c r="Y29" s="707"/>
      <c r="Z29" s="707"/>
      <c r="AA29" s="707"/>
      <c r="AB29" s="707"/>
      <c r="AC29" s="707"/>
      <c r="AD29" s="707"/>
      <c r="AE29" s="707"/>
      <c r="AF29" s="707"/>
      <c r="AG29" s="707"/>
      <c r="AH29" s="708"/>
    </row>
    <row r="30" spans="2:42" ht="22.95" customHeight="1">
      <c r="B30" s="46"/>
      <c r="C30" s="960"/>
      <c r="D30" s="961"/>
      <c r="E30" s="962"/>
      <c r="F30" s="962"/>
      <c r="G30" s="963"/>
      <c r="H30" s="963"/>
      <c r="I30" s="963"/>
      <c r="J30" s="963"/>
      <c r="K30" s="963"/>
      <c r="L30" s="963"/>
      <c r="M30" s="963"/>
      <c r="N30" s="963"/>
      <c r="O30" s="963"/>
      <c r="P30" s="963"/>
      <c r="Q30" s="963"/>
      <c r="R30" s="963"/>
      <c r="S30" s="38"/>
      <c r="U30" s="709"/>
      <c r="V30" s="710"/>
      <c r="W30" s="710"/>
      <c r="X30" s="710"/>
      <c r="Y30" s="710"/>
      <c r="Z30" s="710"/>
      <c r="AA30" s="710"/>
      <c r="AB30" s="710"/>
      <c r="AC30" s="710"/>
      <c r="AD30" s="710"/>
      <c r="AE30" s="710"/>
      <c r="AF30" s="710"/>
      <c r="AG30" s="710"/>
      <c r="AH30" s="711"/>
    </row>
    <row r="31" spans="2:42" ht="22.95" customHeight="1">
      <c r="B31" s="46"/>
      <c r="C31" s="960"/>
      <c r="D31" s="961"/>
      <c r="E31" s="962"/>
      <c r="F31" s="962"/>
      <c r="G31" s="963"/>
      <c r="H31" s="963"/>
      <c r="I31" s="963"/>
      <c r="J31" s="963"/>
      <c r="K31" s="963"/>
      <c r="L31" s="963"/>
      <c r="M31" s="963"/>
      <c r="N31" s="963"/>
      <c r="O31" s="963"/>
      <c r="P31" s="963"/>
      <c r="Q31" s="963"/>
      <c r="R31" s="963"/>
      <c r="S31" s="38"/>
      <c r="U31" s="709"/>
      <c r="V31" s="710"/>
      <c r="W31" s="710"/>
      <c r="X31" s="710"/>
      <c r="Y31" s="710"/>
      <c r="Z31" s="710"/>
      <c r="AA31" s="710"/>
      <c r="AB31" s="710"/>
      <c r="AC31" s="710"/>
      <c r="AD31" s="710"/>
      <c r="AE31" s="710"/>
      <c r="AF31" s="710"/>
      <c r="AG31" s="710"/>
      <c r="AH31" s="711"/>
    </row>
    <row r="32" spans="2:42" ht="22.95" customHeight="1">
      <c r="B32" s="46"/>
      <c r="C32" s="960"/>
      <c r="D32" s="961"/>
      <c r="E32" s="962"/>
      <c r="F32" s="962"/>
      <c r="G32" s="963"/>
      <c r="H32" s="963"/>
      <c r="I32" s="963"/>
      <c r="J32" s="963"/>
      <c r="K32" s="963"/>
      <c r="L32" s="963"/>
      <c r="M32" s="963"/>
      <c r="N32" s="963"/>
      <c r="O32" s="963"/>
      <c r="P32" s="963"/>
      <c r="Q32" s="963"/>
      <c r="R32" s="963"/>
      <c r="S32" s="38"/>
      <c r="U32" s="706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7"/>
      <c r="AG32" s="707"/>
      <c r="AH32" s="708"/>
    </row>
    <row r="33" spans="2:34" ht="22.95" customHeight="1">
      <c r="B33" s="46"/>
      <c r="C33" s="960"/>
      <c r="D33" s="961"/>
      <c r="E33" s="962"/>
      <c r="F33" s="962"/>
      <c r="G33" s="963"/>
      <c r="H33" s="963"/>
      <c r="I33" s="963"/>
      <c r="J33" s="963"/>
      <c r="K33" s="963"/>
      <c r="L33" s="963"/>
      <c r="M33" s="963"/>
      <c r="N33" s="963"/>
      <c r="O33" s="963"/>
      <c r="P33" s="963"/>
      <c r="Q33" s="963"/>
      <c r="R33" s="963"/>
      <c r="S33" s="38"/>
      <c r="U33" s="706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7"/>
      <c r="AG33" s="707"/>
      <c r="AH33" s="708"/>
    </row>
    <row r="34" spans="2:34" ht="22.95" customHeight="1">
      <c r="B34" s="46"/>
      <c r="C34" s="960"/>
      <c r="D34" s="961"/>
      <c r="E34" s="962"/>
      <c r="F34" s="962"/>
      <c r="G34" s="963"/>
      <c r="H34" s="963"/>
      <c r="I34" s="963"/>
      <c r="J34" s="963"/>
      <c r="K34" s="963"/>
      <c r="L34" s="963"/>
      <c r="M34" s="963"/>
      <c r="N34" s="963"/>
      <c r="O34" s="963"/>
      <c r="P34" s="963"/>
      <c r="Q34" s="963"/>
      <c r="R34" s="963"/>
      <c r="S34" s="38"/>
      <c r="U34" s="706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7"/>
      <c r="AG34" s="707"/>
      <c r="AH34" s="708"/>
    </row>
    <row r="35" spans="2:34" ht="22.95" customHeight="1">
      <c r="B35" s="46"/>
      <c r="C35" s="960"/>
      <c r="D35" s="961"/>
      <c r="E35" s="962"/>
      <c r="F35" s="962"/>
      <c r="G35" s="963"/>
      <c r="H35" s="963"/>
      <c r="I35" s="963"/>
      <c r="J35" s="963"/>
      <c r="K35" s="963"/>
      <c r="L35" s="963"/>
      <c r="M35" s="963"/>
      <c r="N35" s="963"/>
      <c r="O35" s="963"/>
      <c r="P35" s="963"/>
      <c r="Q35" s="963"/>
      <c r="R35" s="963"/>
      <c r="S35" s="38"/>
      <c r="U35" s="706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7"/>
      <c r="AG35" s="707"/>
      <c r="AH35" s="708"/>
    </row>
    <row r="36" spans="2:34" ht="22.95" customHeight="1">
      <c r="B36" s="46"/>
      <c r="C36" s="960"/>
      <c r="D36" s="961"/>
      <c r="E36" s="962"/>
      <c r="F36" s="962"/>
      <c r="G36" s="963"/>
      <c r="H36" s="963"/>
      <c r="I36" s="963"/>
      <c r="J36" s="963"/>
      <c r="K36" s="963"/>
      <c r="L36" s="963"/>
      <c r="M36" s="963"/>
      <c r="N36" s="963"/>
      <c r="O36" s="963"/>
      <c r="P36" s="963"/>
      <c r="Q36" s="963"/>
      <c r="R36" s="963"/>
      <c r="S36" s="38"/>
      <c r="U36" s="712"/>
      <c r="V36" s="713"/>
      <c r="W36" s="713"/>
      <c r="X36" s="713"/>
      <c r="Y36" s="713"/>
      <c r="Z36" s="713"/>
      <c r="AA36" s="713"/>
      <c r="AB36" s="713"/>
      <c r="AC36" s="713"/>
      <c r="AD36" s="713"/>
      <c r="AE36" s="713"/>
      <c r="AF36" s="713"/>
      <c r="AG36" s="713"/>
      <c r="AH36" s="714"/>
    </row>
    <row r="37" spans="2:34" ht="22.95" customHeight="1">
      <c r="B37" s="46"/>
      <c r="C37" s="960"/>
      <c r="D37" s="961"/>
      <c r="E37" s="962"/>
      <c r="F37" s="962"/>
      <c r="G37" s="963"/>
      <c r="H37" s="963"/>
      <c r="I37" s="963"/>
      <c r="J37" s="963"/>
      <c r="K37" s="963"/>
      <c r="L37" s="963"/>
      <c r="M37" s="963"/>
      <c r="N37" s="963"/>
      <c r="O37" s="963"/>
      <c r="P37" s="963"/>
      <c r="Q37" s="963"/>
      <c r="R37" s="963"/>
      <c r="S37" s="38"/>
      <c r="U37" s="712"/>
      <c r="V37" s="713"/>
      <c r="W37" s="713"/>
      <c r="X37" s="713"/>
      <c r="Y37" s="713"/>
      <c r="Z37" s="713"/>
      <c r="AA37" s="713"/>
      <c r="AB37" s="713"/>
      <c r="AC37" s="713"/>
      <c r="AD37" s="713"/>
      <c r="AE37" s="713"/>
      <c r="AF37" s="713"/>
      <c r="AG37" s="713"/>
      <c r="AH37" s="714"/>
    </row>
    <row r="38" spans="2:34" ht="22.95" customHeight="1">
      <c r="B38" s="46"/>
      <c r="C38" s="960"/>
      <c r="D38" s="961"/>
      <c r="E38" s="962"/>
      <c r="F38" s="962"/>
      <c r="G38" s="963"/>
      <c r="H38" s="963"/>
      <c r="I38" s="963"/>
      <c r="J38" s="963"/>
      <c r="K38" s="963"/>
      <c r="L38" s="963"/>
      <c r="M38" s="963"/>
      <c r="N38" s="963"/>
      <c r="O38" s="963"/>
      <c r="P38" s="963"/>
      <c r="Q38" s="963"/>
      <c r="R38" s="963"/>
      <c r="S38" s="38"/>
      <c r="U38" s="712"/>
      <c r="V38" s="713"/>
      <c r="W38" s="713"/>
      <c r="X38" s="713"/>
      <c r="Y38" s="713"/>
      <c r="Z38" s="713"/>
      <c r="AA38" s="713"/>
      <c r="AB38" s="713"/>
      <c r="AC38" s="713"/>
      <c r="AD38" s="713"/>
      <c r="AE38" s="713"/>
      <c r="AF38" s="713"/>
      <c r="AG38" s="713"/>
      <c r="AH38" s="714"/>
    </row>
    <row r="39" spans="2:34" ht="22.95" customHeight="1">
      <c r="B39" s="46"/>
      <c r="C39" s="960"/>
      <c r="D39" s="961"/>
      <c r="E39" s="962"/>
      <c r="F39" s="962"/>
      <c r="G39" s="963"/>
      <c r="H39" s="963"/>
      <c r="I39" s="963"/>
      <c r="J39" s="963"/>
      <c r="K39" s="963"/>
      <c r="L39" s="963"/>
      <c r="M39" s="963"/>
      <c r="N39" s="963"/>
      <c r="O39" s="963"/>
      <c r="P39" s="963"/>
      <c r="Q39" s="963"/>
      <c r="R39" s="963"/>
      <c r="S39" s="38"/>
      <c r="U39" s="712"/>
      <c r="V39" s="713"/>
      <c r="W39" s="713"/>
      <c r="X39" s="713"/>
      <c r="Y39" s="713"/>
      <c r="Z39" s="713"/>
      <c r="AA39" s="713"/>
      <c r="AB39" s="713"/>
      <c r="AC39" s="713"/>
      <c r="AD39" s="713"/>
      <c r="AE39" s="713"/>
      <c r="AF39" s="713"/>
      <c r="AG39" s="713"/>
      <c r="AH39" s="714"/>
    </row>
    <row r="40" spans="2:34" ht="22.95" customHeight="1">
      <c r="B40" s="46"/>
      <c r="C40" s="960"/>
      <c r="D40" s="961"/>
      <c r="E40" s="962"/>
      <c r="F40" s="962"/>
      <c r="G40" s="963"/>
      <c r="H40" s="963"/>
      <c r="I40" s="963"/>
      <c r="J40" s="963"/>
      <c r="K40" s="963"/>
      <c r="L40" s="963"/>
      <c r="M40" s="963"/>
      <c r="N40" s="963"/>
      <c r="O40" s="963"/>
      <c r="P40" s="963"/>
      <c r="Q40" s="963"/>
      <c r="R40" s="963"/>
      <c r="S40" s="38"/>
      <c r="U40" s="712"/>
      <c r="V40" s="713"/>
      <c r="W40" s="713"/>
      <c r="X40" s="713"/>
      <c r="Y40" s="713"/>
      <c r="Z40" s="713"/>
      <c r="AA40" s="713"/>
      <c r="AB40" s="713"/>
      <c r="AC40" s="713"/>
      <c r="AD40" s="713"/>
      <c r="AE40" s="713"/>
      <c r="AF40" s="713"/>
      <c r="AG40" s="713"/>
      <c r="AH40" s="714"/>
    </row>
    <row r="41" spans="2:34" ht="22.95" customHeight="1">
      <c r="B41" s="46"/>
      <c r="C41" s="960"/>
      <c r="D41" s="961"/>
      <c r="E41" s="962"/>
      <c r="F41" s="962"/>
      <c r="G41" s="963"/>
      <c r="H41" s="963"/>
      <c r="I41" s="963"/>
      <c r="J41" s="963"/>
      <c r="K41" s="963"/>
      <c r="L41" s="963"/>
      <c r="M41" s="963"/>
      <c r="N41" s="963"/>
      <c r="O41" s="963"/>
      <c r="P41" s="963"/>
      <c r="Q41" s="963"/>
      <c r="R41" s="963"/>
      <c r="S41" s="38"/>
      <c r="U41" s="712"/>
      <c r="V41" s="713"/>
      <c r="W41" s="713"/>
      <c r="X41" s="713"/>
      <c r="Y41" s="713"/>
      <c r="Z41" s="713"/>
      <c r="AA41" s="713"/>
      <c r="AB41" s="713"/>
      <c r="AC41" s="713"/>
      <c r="AD41" s="713"/>
      <c r="AE41" s="713"/>
      <c r="AF41" s="713"/>
      <c r="AG41" s="713"/>
      <c r="AH41" s="714"/>
    </row>
    <row r="42" spans="2:34" ht="22.95" customHeight="1">
      <c r="B42" s="46"/>
      <c r="C42" s="960"/>
      <c r="D42" s="961"/>
      <c r="E42" s="962"/>
      <c r="F42" s="962"/>
      <c r="G42" s="963"/>
      <c r="H42" s="963"/>
      <c r="I42" s="963"/>
      <c r="J42" s="963"/>
      <c r="K42" s="963"/>
      <c r="L42" s="963"/>
      <c r="M42" s="963"/>
      <c r="N42" s="963"/>
      <c r="O42" s="963"/>
      <c r="P42" s="963"/>
      <c r="Q42" s="963"/>
      <c r="R42" s="963"/>
      <c r="S42" s="38"/>
      <c r="U42" s="712"/>
      <c r="V42" s="713"/>
      <c r="W42" s="713"/>
      <c r="X42" s="713"/>
      <c r="Y42" s="713"/>
      <c r="Z42" s="713"/>
      <c r="AA42" s="713"/>
      <c r="AB42" s="713"/>
      <c r="AC42" s="713"/>
      <c r="AD42" s="713"/>
      <c r="AE42" s="713"/>
      <c r="AF42" s="713"/>
      <c r="AG42" s="713"/>
      <c r="AH42" s="714"/>
    </row>
    <row r="43" spans="2:34" ht="22.95" customHeight="1">
      <c r="B43" s="46"/>
      <c r="C43" s="960"/>
      <c r="D43" s="961"/>
      <c r="E43" s="962"/>
      <c r="F43" s="962"/>
      <c r="G43" s="963"/>
      <c r="H43" s="963"/>
      <c r="I43" s="963"/>
      <c r="J43" s="963"/>
      <c r="K43" s="963"/>
      <c r="L43" s="963"/>
      <c r="M43" s="963"/>
      <c r="N43" s="963"/>
      <c r="O43" s="963"/>
      <c r="P43" s="963"/>
      <c r="Q43" s="963"/>
      <c r="R43" s="963"/>
      <c r="S43" s="38"/>
      <c r="U43" s="712"/>
      <c r="V43" s="713"/>
      <c r="W43" s="713"/>
      <c r="X43" s="713"/>
      <c r="Y43" s="713"/>
      <c r="Z43" s="713"/>
      <c r="AA43" s="713"/>
      <c r="AB43" s="713"/>
      <c r="AC43" s="713"/>
      <c r="AD43" s="713"/>
      <c r="AE43" s="713"/>
      <c r="AF43" s="713"/>
      <c r="AG43" s="713"/>
      <c r="AH43" s="714"/>
    </row>
    <row r="44" spans="2:34" ht="22.95" customHeight="1">
      <c r="B44" s="46"/>
      <c r="C44" s="960"/>
      <c r="D44" s="961"/>
      <c r="E44" s="962"/>
      <c r="F44" s="962"/>
      <c r="G44" s="963"/>
      <c r="H44" s="963"/>
      <c r="I44" s="963"/>
      <c r="J44" s="963"/>
      <c r="K44" s="963"/>
      <c r="L44" s="963"/>
      <c r="M44" s="963"/>
      <c r="N44" s="963"/>
      <c r="O44" s="963"/>
      <c r="P44" s="963"/>
      <c r="Q44" s="963"/>
      <c r="R44" s="963"/>
      <c r="S44" s="38"/>
      <c r="U44" s="712"/>
      <c r="V44" s="713"/>
      <c r="W44" s="713"/>
      <c r="X44" s="713"/>
      <c r="Y44" s="713"/>
      <c r="Z44" s="713"/>
      <c r="AA44" s="713"/>
      <c r="AB44" s="713"/>
      <c r="AC44" s="713"/>
      <c r="AD44" s="713"/>
      <c r="AE44" s="713"/>
      <c r="AF44" s="713"/>
      <c r="AG44" s="713"/>
      <c r="AH44" s="714"/>
    </row>
    <row r="45" spans="2:34" ht="22.95" customHeight="1">
      <c r="B45" s="46"/>
      <c r="C45" s="960"/>
      <c r="D45" s="961"/>
      <c r="E45" s="962"/>
      <c r="F45" s="962"/>
      <c r="G45" s="963"/>
      <c r="H45" s="963"/>
      <c r="I45" s="963"/>
      <c r="J45" s="963"/>
      <c r="K45" s="963"/>
      <c r="L45" s="963"/>
      <c r="M45" s="963"/>
      <c r="N45" s="963"/>
      <c r="O45" s="963"/>
      <c r="P45" s="963"/>
      <c r="Q45" s="963"/>
      <c r="R45" s="963"/>
      <c r="S45" s="38"/>
      <c r="U45" s="712"/>
      <c r="V45" s="713"/>
      <c r="W45" s="713"/>
      <c r="X45" s="713"/>
      <c r="Y45" s="713"/>
      <c r="Z45" s="713"/>
      <c r="AA45" s="713"/>
      <c r="AB45" s="713"/>
      <c r="AC45" s="713"/>
      <c r="AD45" s="713"/>
      <c r="AE45" s="713"/>
      <c r="AF45" s="713"/>
      <c r="AG45" s="713"/>
      <c r="AH45" s="714"/>
    </row>
    <row r="46" spans="2:34" s="39" customFormat="1" ht="22.95" customHeight="1" thickBot="1">
      <c r="B46" s="46"/>
      <c r="C46" s="1201" t="s">
        <v>488</v>
      </c>
      <c r="D46" s="1202"/>
      <c r="E46" s="53">
        <f>MIN(E16:E45)</f>
        <v>2025</v>
      </c>
      <c r="F46" s="53">
        <f>MAX(F16:F45)</f>
        <v>2025</v>
      </c>
      <c r="G46" s="54">
        <f t="shared" ref="G46:R46" si="0">SUM(G16:G45)</f>
        <v>10000</v>
      </c>
      <c r="H46" s="54">
        <f t="shared" si="0"/>
        <v>0</v>
      </c>
      <c r="I46" s="54">
        <f t="shared" si="0"/>
        <v>10000</v>
      </c>
      <c r="J46" s="54">
        <f t="shared" si="0"/>
        <v>0</v>
      </c>
      <c r="K46" s="54">
        <f t="shared" si="0"/>
        <v>0</v>
      </c>
      <c r="L46" s="54">
        <f t="shared" si="0"/>
        <v>0</v>
      </c>
      <c r="M46" s="54">
        <f t="shared" si="0"/>
        <v>0</v>
      </c>
      <c r="N46" s="54">
        <f t="shared" si="0"/>
        <v>0</v>
      </c>
      <c r="O46" s="54">
        <f t="shared" si="0"/>
        <v>0</v>
      </c>
      <c r="P46" s="54">
        <f t="shared" si="0"/>
        <v>0</v>
      </c>
      <c r="Q46" s="54">
        <f t="shared" si="0"/>
        <v>0</v>
      </c>
      <c r="R46" s="54">
        <f t="shared" si="0"/>
        <v>0</v>
      </c>
      <c r="S46" s="55"/>
      <c r="U46" s="712"/>
      <c r="V46" s="713"/>
      <c r="W46" s="713"/>
      <c r="X46" s="713"/>
      <c r="Y46" s="713"/>
      <c r="Z46" s="713"/>
      <c r="AA46" s="713"/>
      <c r="AB46" s="713"/>
      <c r="AC46" s="713"/>
      <c r="AD46" s="713"/>
      <c r="AE46" s="713"/>
      <c r="AF46" s="713"/>
      <c r="AG46" s="713"/>
      <c r="AH46" s="714"/>
    </row>
    <row r="47" spans="2:34" s="39" customFormat="1" ht="22.95" customHeight="1">
      <c r="B47" s="46"/>
      <c r="C47" s="271"/>
      <c r="D47" s="271"/>
      <c r="E47" s="272"/>
      <c r="F47" s="272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55"/>
      <c r="U47" s="712"/>
      <c r="V47" s="713"/>
      <c r="W47" s="713"/>
      <c r="X47" s="713"/>
      <c r="Y47" s="713"/>
      <c r="Z47" s="713"/>
      <c r="AA47" s="713"/>
      <c r="AB47" s="713"/>
      <c r="AC47" s="713"/>
      <c r="AD47" s="713"/>
      <c r="AE47" s="713"/>
      <c r="AF47" s="713"/>
      <c r="AG47" s="713"/>
      <c r="AH47" s="714"/>
    </row>
    <row r="48" spans="2:34" s="39" customFormat="1" ht="22.95" customHeight="1">
      <c r="B48" s="46"/>
      <c r="C48" s="215" t="s">
        <v>489</v>
      </c>
      <c r="D48" s="271"/>
      <c r="E48" s="272"/>
      <c r="F48" s="272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55"/>
      <c r="U48" s="712"/>
      <c r="V48" s="713"/>
      <c r="W48" s="713"/>
      <c r="X48" s="713"/>
      <c r="Y48" s="713"/>
      <c r="Z48" s="713"/>
      <c r="AA48" s="713"/>
      <c r="AB48" s="713"/>
      <c r="AC48" s="713"/>
      <c r="AD48" s="713"/>
      <c r="AE48" s="713"/>
      <c r="AF48" s="713"/>
      <c r="AG48" s="713"/>
      <c r="AH48" s="714"/>
    </row>
    <row r="49" spans="2:34" s="39" customFormat="1" ht="22.95" customHeight="1">
      <c r="B49" s="46"/>
      <c r="C49" s="901" t="s">
        <v>490</v>
      </c>
      <c r="D49" s="271"/>
      <c r="E49" s="272"/>
      <c r="F49" s="964">
        <f>ejercicio</f>
        <v>2025</v>
      </c>
      <c r="G49" s="425" t="s">
        <v>491</v>
      </c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55"/>
      <c r="U49" s="712"/>
      <c r="V49" s="713"/>
      <c r="W49" s="713"/>
      <c r="X49" s="713"/>
      <c r="Y49" s="713"/>
      <c r="Z49" s="713"/>
      <c r="AA49" s="713"/>
      <c r="AB49" s="713"/>
      <c r="AC49" s="713"/>
      <c r="AD49" s="713"/>
      <c r="AE49" s="713"/>
      <c r="AF49" s="713"/>
      <c r="AG49" s="713"/>
      <c r="AH49" s="714"/>
    </row>
    <row r="50" spans="2:34" s="39" customFormat="1" ht="22.95" customHeight="1">
      <c r="B50" s="46"/>
      <c r="C50" s="599" t="s">
        <v>492</v>
      </c>
      <c r="D50" s="271"/>
      <c r="E50" s="272"/>
      <c r="F50" s="272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55"/>
      <c r="U50" s="712"/>
      <c r="V50" s="713"/>
      <c r="W50" s="713"/>
      <c r="X50" s="713"/>
      <c r="Y50" s="713"/>
      <c r="Z50" s="713"/>
      <c r="AA50" s="713"/>
      <c r="AB50" s="713"/>
      <c r="AC50" s="713"/>
      <c r="AD50" s="713"/>
      <c r="AE50" s="713"/>
      <c r="AF50" s="713"/>
      <c r="AG50" s="713"/>
      <c r="AH50" s="714"/>
    </row>
    <row r="51" spans="2:34" s="39" customFormat="1" ht="22.95" customHeight="1">
      <c r="B51" s="46"/>
      <c r="C51" s="901" t="s">
        <v>493</v>
      </c>
      <c r="D51" s="271"/>
      <c r="E51" s="272"/>
      <c r="F51" s="272"/>
      <c r="G51" s="964">
        <f>ejercicio</f>
        <v>2025</v>
      </c>
      <c r="H51" s="425" t="s">
        <v>494</v>
      </c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55"/>
      <c r="U51" s="712"/>
      <c r="V51" s="713"/>
      <c r="W51" s="713"/>
      <c r="X51" s="713"/>
      <c r="Y51" s="713"/>
      <c r="Z51" s="713"/>
      <c r="AA51" s="713"/>
      <c r="AB51" s="713"/>
      <c r="AC51" s="713"/>
      <c r="AD51" s="713"/>
      <c r="AE51" s="713"/>
      <c r="AF51" s="713"/>
      <c r="AG51" s="713"/>
      <c r="AH51" s="714"/>
    </row>
    <row r="52" spans="2:34" s="39" customFormat="1" ht="22.95" customHeight="1">
      <c r="B52" s="46"/>
      <c r="C52" s="901" t="s">
        <v>495</v>
      </c>
      <c r="D52" s="271"/>
      <c r="E52" s="272"/>
      <c r="F52" s="272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55"/>
      <c r="U52" s="712"/>
      <c r="V52" s="713"/>
      <c r="W52" s="713"/>
      <c r="X52" s="713"/>
      <c r="Y52" s="713"/>
      <c r="Z52" s="713"/>
      <c r="AA52" s="713"/>
      <c r="AB52" s="713"/>
      <c r="AC52" s="713"/>
      <c r="AD52" s="713"/>
      <c r="AE52" s="713"/>
      <c r="AF52" s="713"/>
      <c r="AG52" s="713"/>
      <c r="AH52" s="714"/>
    </row>
    <row r="53" spans="2:34" s="39" customFormat="1" ht="22.95" customHeight="1">
      <c r="B53" s="46"/>
      <c r="C53" s="901" t="s">
        <v>496</v>
      </c>
      <c r="D53" s="271"/>
      <c r="E53" s="272"/>
      <c r="F53" s="272"/>
      <c r="G53" s="964">
        <f>ejercicio</f>
        <v>2025</v>
      </c>
      <c r="H53" s="425" t="s">
        <v>497</v>
      </c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55"/>
      <c r="U53" s="712"/>
      <c r="V53" s="713"/>
      <c r="W53" s="713"/>
      <c r="X53" s="713"/>
      <c r="Y53" s="713"/>
      <c r="Z53" s="713"/>
      <c r="AA53" s="713"/>
      <c r="AB53" s="713"/>
      <c r="AC53" s="713"/>
      <c r="AD53" s="713"/>
      <c r="AE53" s="713"/>
      <c r="AF53" s="713"/>
      <c r="AG53" s="713"/>
      <c r="AH53" s="714"/>
    </row>
    <row r="54" spans="2:34" s="39" customFormat="1" ht="22.95" customHeight="1">
      <c r="B54" s="46"/>
      <c r="C54" s="271"/>
      <c r="D54" s="271"/>
      <c r="E54" s="272"/>
      <c r="F54" s="272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55"/>
      <c r="U54" s="712"/>
      <c r="V54" s="713"/>
      <c r="W54" s="713"/>
      <c r="X54" s="713"/>
      <c r="Y54" s="713"/>
      <c r="Z54" s="713"/>
      <c r="AA54" s="713"/>
      <c r="AB54" s="713"/>
      <c r="AC54" s="713"/>
      <c r="AD54" s="713"/>
      <c r="AE54" s="713"/>
      <c r="AF54" s="713"/>
      <c r="AG54" s="713"/>
      <c r="AH54" s="714"/>
    </row>
    <row r="55" spans="2:34" ht="22.95" customHeight="1" thickBot="1">
      <c r="B55" s="49"/>
      <c r="C55" s="1154"/>
      <c r="D55" s="1154"/>
      <c r="E55" s="1154"/>
      <c r="F55" s="1154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50"/>
      <c r="S55" s="51"/>
      <c r="U55" s="715"/>
      <c r="V55" s="716"/>
      <c r="W55" s="716"/>
      <c r="X55" s="716"/>
      <c r="Y55" s="716"/>
      <c r="Z55" s="716"/>
      <c r="AA55" s="716"/>
      <c r="AB55" s="716"/>
      <c r="AC55" s="716"/>
      <c r="AD55" s="716"/>
      <c r="AE55" s="716"/>
      <c r="AF55" s="716"/>
      <c r="AG55" s="716"/>
      <c r="AH55" s="717"/>
    </row>
    <row r="56" spans="2:34" ht="22.95" customHeight="1">
      <c r="T56" s="31" t="s">
        <v>179</v>
      </c>
    </row>
    <row r="57" spans="2:34" ht="13.2">
      <c r="C57" s="52" t="s">
        <v>52</v>
      </c>
      <c r="R57" s="29" t="s">
        <v>498</v>
      </c>
    </row>
    <row r="58" spans="2:34" ht="13.2">
      <c r="C58" s="52" t="s">
        <v>54</v>
      </c>
    </row>
    <row r="59" spans="2:34" ht="13.2">
      <c r="C59" s="52" t="s">
        <v>55</v>
      </c>
    </row>
    <row r="60" spans="2:34" ht="13.2">
      <c r="C60" s="52" t="s">
        <v>56</v>
      </c>
    </row>
    <row r="61" spans="2:34" ht="13.2">
      <c r="C61" s="52" t="s">
        <v>57</v>
      </c>
    </row>
  </sheetData>
  <sheetProtection algorithmName="SHA-512" hashValue="aMc6YjI/qPLTtXlHvvvbGbMww0aXDUO6sHyISJ0EAJmlgY48FuTL3BMCPBC4Xv0Va2NP7vRLRwqc9cO9bTKcqw==" saltValue="m2u0wTgqyp9+ea8W2tNUVw==" spinCount="100000" sheet="1" insertRows="0"/>
  <mergeCells count="5">
    <mergeCell ref="R6:R7"/>
    <mergeCell ref="D9:R9"/>
    <mergeCell ref="C55:F55"/>
    <mergeCell ref="I13:M13"/>
    <mergeCell ref="C46:D46"/>
  </mergeCells>
  <phoneticPr fontId="16" type="noConversion"/>
  <dataValidations count="2">
    <dataValidation type="list" allowBlank="1" showInputMessage="1" showErrorMessage="1" sqref="F16:F45" xr:uid="{00000000-0002-0000-0800-000000000000}">
      <formula1>Año_fin</formula1>
    </dataValidation>
    <dataValidation type="custom" allowBlank="1" showInputMessage="1" showErrorMessage="1" errorTitle="Dato erróneo" error="No es posible introducir inversiones en un ejercicio posterior al indicado como fin en la columna G" sqref="I16:R45" xr:uid="{00000000-0002-0000-0800-000001000000}">
      <formula1>$F16&gt;=I$15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32" orientation="portrait" horizontalDpi="4294967292" verticalDpi="4294967292" r:id="rId1"/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21ADFD4519D24493D8FF12D1B35C10" ma:contentTypeVersion="4" ma:contentTypeDescription="Crear nuevo documento." ma:contentTypeScope="" ma:versionID="19b0a5259ac0e7d2da318454d773a0f8">
  <xsd:schema xmlns:xsd="http://www.w3.org/2001/XMLSchema" xmlns:xs="http://www.w3.org/2001/XMLSchema" xmlns:p="http://schemas.microsoft.com/office/2006/metadata/properties" xmlns:ns2="b0b40ea3-bb1f-4625-b58d-a317e8fd7127" targetNamespace="http://schemas.microsoft.com/office/2006/metadata/properties" ma:root="true" ma:fieldsID="c22bb5860e6b77ac79b391fb2fdd0231" ns2:_="">
    <xsd:import namespace="b0b40ea3-bb1f-4625-b58d-a317e8fd71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b40ea3-bb1f-4625-b58d-a317e8fd71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3925F1-A6E0-45E3-A10D-9423A81D7A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5419EE8-19D2-4734-8FF0-3DAE150EA9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b40ea3-bb1f-4625-b58d-a317e8fd71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9C5583-AB3B-46FD-9532-C3C7505AA7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37</vt:i4>
      </vt:variant>
    </vt:vector>
  </HeadingPairs>
  <TitlesOfParts>
    <vt:vector size="61" baseType="lpstr">
      <vt:lpstr>_GENERAL</vt:lpstr>
      <vt:lpstr>_CHECK_LIST</vt:lpstr>
      <vt:lpstr>FC-1_ORGANOS_GOBIERNO</vt:lpstr>
      <vt:lpstr>FC-2_ACCIONISTAS</vt:lpstr>
      <vt:lpstr>FC-3_CPyG</vt:lpstr>
      <vt:lpstr>FC-3_1_INF_ADIC_CPyG</vt:lpstr>
      <vt:lpstr>FC-4_ACTIVO</vt:lpstr>
      <vt:lpstr>FC-4_PASIVO</vt:lpstr>
      <vt:lpstr>FC-6_Inversiones</vt:lpstr>
      <vt:lpstr>FC-7_INF</vt:lpstr>
      <vt:lpstr>FC-8_INV_FINANCIERAS</vt:lpstr>
      <vt:lpstr>FC-9_TRANS_SUBV</vt:lpstr>
      <vt:lpstr>FC-9_1_SUBV_REINT</vt:lpstr>
      <vt:lpstr>FC-10_DEUDAS</vt:lpstr>
      <vt:lpstr>FC-11_DEUDA_VIVA</vt:lpstr>
      <vt:lpstr>FC-12_PERFIL_VTO_DEUDA</vt:lpstr>
      <vt:lpstr>FC-13_PERSONAL</vt:lpstr>
      <vt:lpstr>FC-14_OPER_INTERNAS</vt:lpstr>
      <vt:lpstr>FC-15_ENCARGOS</vt:lpstr>
      <vt:lpstr>_FC-16_ESTAB_PRESUP</vt:lpstr>
      <vt:lpstr>_FC-16_1_ INF_ADIC_ESTAB_PRESUP</vt:lpstr>
      <vt:lpstr>_FC-17_FINANCIACIÓN</vt:lpstr>
      <vt:lpstr>FC-90</vt:lpstr>
      <vt:lpstr>_FC-90_DETALLE</vt:lpstr>
      <vt:lpstr>_35_1</vt:lpstr>
      <vt:lpstr>_35_2</vt:lpstr>
      <vt:lpstr>_36_1</vt:lpstr>
      <vt:lpstr>_36_2</vt:lpstr>
      <vt:lpstr>_37_1</vt:lpstr>
      <vt:lpstr>_37_2</vt:lpstr>
      <vt:lpstr>_38_1</vt:lpstr>
      <vt:lpstr>_38_2</vt:lpstr>
      <vt:lpstr>Año_fin</vt:lpstr>
      <vt:lpstr>_CHECK_LIST!Área_de_impresión</vt:lpstr>
      <vt:lpstr>'_FC-16_1_ INF_ADIC_ESTAB_PRESUP'!Área_de_impresión</vt:lpstr>
      <vt:lpstr>'_FC-16_ESTAB_PRESUP'!Área_de_impresión</vt:lpstr>
      <vt:lpstr>'_FC-17_FINANCIACIÓN'!Área_de_impresión</vt:lpstr>
      <vt:lpstr>_GENERAL!Área_de_impresión</vt:lpstr>
      <vt:lpstr>'FC-10_DEUDAS'!Área_de_impresión</vt:lpstr>
      <vt:lpstr>'FC-11_DEUDA_VIVA'!Área_de_impresión</vt:lpstr>
      <vt:lpstr>'FC-12_PERFIL_VTO_DEUDA'!Área_de_impresión</vt:lpstr>
      <vt:lpstr>'FC-13_PERSONAL'!Área_de_impresión</vt:lpstr>
      <vt:lpstr>'FC-14_OPER_INTERNAS'!Área_de_impresión</vt:lpstr>
      <vt:lpstr>'FC-15_ENCARGOS'!Área_de_impresión</vt:lpstr>
      <vt:lpstr>'FC-2_ACCIONISTAS'!Área_de_impresión</vt:lpstr>
      <vt:lpstr>'FC-3_1_INF_ADIC_CPyG'!Área_de_impresión</vt:lpstr>
      <vt:lpstr>'FC-3_CPyG'!Área_de_impresión</vt:lpstr>
      <vt:lpstr>'FC-4_ACTIVO'!Área_de_impresión</vt:lpstr>
      <vt:lpstr>'FC-4_PASIVO'!Área_de_impresión</vt:lpstr>
      <vt:lpstr>'FC-6_Inversiones'!Área_de_impresión</vt:lpstr>
      <vt:lpstr>'FC-7_INF'!Área_de_impresión</vt:lpstr>
      <vt:lpstr>'FC-8_INV_FINANCIERAS'!Área_de_impresión</vt:lpstr>
      <vt:lpstr>'FC-9_1_SUBV_REINT'!Área_de_impresión</vt:lpstr>
      <vt:lpstr>'FC-9_TRANS_SUBV'!Área_de_impresión</vt:lpstr>
      <vt:lpstr>'FC-90'!Área_de_impresión</vt:lpstr>
      <vt:lpstr>Codigo</vt:lpstr>
      <vt:lpstr>DEPENDENCIA</vt:lpstr>
      <vt:lpstr>'FC-9_1_SUBV_REINT'!EE_DD</vt:lpstr>
      <vt:lpstr>EE_DD</vt:lpstr>
      <vt:lpstr>ejercicio</vt:lpstr>
      <vt:lpstr>Entidad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Abreu</dc:creator>
  <cp:keywords/>
  <dc:description/>
  <cp:lastModifiedBy>Laura González Gallardo</cp:lastModifiedBy>
  <cp:revision/>
  <dcterms:created xsi:type="dcterms:W3CDTF">2017-09-18T15:25:23Z</dcterms:created>
  <dcterms:modified xsi:type="dcterms:W3CDTF">2025-09-11T12:39:21Z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0x010100A021ADFD4519D24493D8FF12D1B35C10</vt:lpwstr>
  </property>
</Properties>
</file>