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hernandez\Dropbox\TRANSPARENCIA\Doc. Transparencia 2021\"/>
    </mc:Choice>
  </mc:AlternateContent>
  <xr:revisionPtr revIDLastSave="0" documentId="8_{1F36577C-68F0-45E7-9D96-B987AFE1D1C5}" xr6:coauthVersionLast="47" xr6:coauthVersionMax="47" xr10:uidLastSave="{00000000-0000-0000-0000-000000000000}"/>
  <bookViews>
    <workbookView xWindow="-120" yWindow="-120" windowWidth="29040" windowHeight="15840" tabRatio="850" firstSheet="12" activeTab="19" xr2:uid="{00000000-000D-0000-FFFF-FFFF00000000}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6_Inversiones" sheetId="13" r:id="rId9"/>
    <sheet name="FC-7_INF" sheetId="15" r:id="rId10"/>
    <sheet name="FC-8_INV_FINANCIERAS" sheetId="17" r:id="rId11"/>
    <sheet name="FC-9_TRANS_SUBV" sheetId="39" r:id="rId12"/>
    <sheet name="FC-10_DEUDAS" sheetId="23" r:id="rId13"/>
    <sheet name="FC-11_DEUDA_VIVA" sheetId="20" r:id="rId14"/>
    <sheet name="FC-12_PERFIL_VTO_DEUDA" sheetId="21" r:id="rId15"/>
    <sheet name="FC-13_PERSONAL" sheetId="25" r:id="rId16"/>
    <sheet name="FC-14_OPER_INTERNAS" sheetId="27" r:id="rId17"/>
    <sheet name="FC-15_ENCARGOS" sheetId="28" r:id="rId18"/>
    <sheet name="_FC-16_ESTAB_PRESUP" sheetId="29" r:id="rId19"/>
    <sheet name="_FC-16_1_ INF_ADIC_ESTAB_PRESUP" sheetId="42" r:id="rId20"/>
    <sheet name="_FC-17_FINANCIACIÓN" sheetId="31" r:id="rId21"/>
    <sheet name="FC-90" sheetId="34" r:id="rId22"/>
    <sheet name="_FC-90_DETALLE" sheetId="41" state="hidden" r:id="rId23"/>
  </sheets>
  <definedNames>
    <definedName name="_xlnm.Print_Area" localSheetId="1">_CHECK_LIST!$C$5:$J$63</definedName>
    <definedName name="_xlnm.Print_Area" localSheetId="19">'_FC-16_1_ INF_ADIC_ESTAB_PRESUP'!$C$1:$M$40</definedName>
    <definedName name="_xlnm.Print_Area" localSheetId="18">'_FC-16_ESTAB_PRESUP'!$C$1:$I$92</definedName>
    <definedName name="_xlnm.Print_Area" localSheetId="20">'_FC-17_FINANCIACIÓN'!$C$1:$G$48</definedName>
    <definedName name="_xlnm.Print_Area" localSheetId="0">_GENERAL!$B$5:$N$47</definedName>
    <definedName name="_xlnm.Print_Area" localSheetId="2">'FC-1_ORGANOS_GOBIERNO'!$C$1:$J$48</definedName>
    <definedName name="_xlnm.Print_Area" localSheetId="12">'FC-10_DEUDAS'!$C$1:$U$164</definedName>
    <definedName name="_xlnm.Print_Area" localSheetId="13">'FC-11_DEUDA_VIVA'!$C$1:$K$66</definedName>
    <definedName name="_xlnm.Print_Area" localSheetId="14">'FC-12_PERFIL_VTO_DEUDA'!$C$1:$P$51</definedName>
    <definedName name="_xlnm.Print_Area" localSheetId="15">'FC-13_PERSONAL'!$C$1:$L$71</definedName>
    <definedName name="_xlnm.Print_Area" localSheetId="16">'FC-14_OPER_INTERNAS'!$C$1:$J$114</definedName>
    <definedName name="_xlnm.Print_Area" localSheetId="17">'FC-15_ENCARGOS'!$C$1:$J$41</definedName>
    <definedName name="_xlnm.Print_Area" localSheetId="3">'FC-2_ACCIONISTAS'!$C$1:$R$61</definedName>
    <definedName name="_xlnm.Print_Area" localSheetId="5">'FC-3_1_INF_ADIC_CPyG'!$C$1:$O$102</definedName>
    <definedName name="_xlnm.Print_Area" localSheetId="4">'FC-3_CPyG'!$C$1:$J$92</definedName>
    <definedName name="_xlnm.Print_Area" localSheetId="6">'FC-4_ACTIVO'!$C$1:$J$43</definedName>
    <definedName name="_xlnm.Print_Area" localSheetId="7">'FC-4_PASIVO'!$C$1:$J$65</definedName>
    <definedName name="_xlnm.Print_Area" localSheetId="8">'FC-6_Inversiones'!$C$1:$T$61</definedName>
    <definedName name="_xlnm.Print_Area" localSheetId="9">'FC-7_INF'!$C$1:$Q$53</definedName>
    <definedName name="_xlnm.Print_Area" localSheetId="10">'FC-8_INV_FINANCIERAS'!$C$1:$O$77</definedName>
    <definedName name="_xlnm.Print_Area" localSheetId="11">'FC-9_TRANS_SUBV'!$C$1:$T$156</definedName>
    <definedName name="_xlnm.Print_Area" localSheetId="21">'FC-90'!$C$1:$G$71</definedName>
    <definedName name="DEPENDENCIA">_GENERAL!$H$16</definedName>
    <definedName name="ejercicio">_GENERAL!$D$16</definedName>
    <definedName name="Entidad">_GENERAL!$D$13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2" i="23" l="1"/>
  <c r="S112" i="23"/>
  <c r="Q112" i="23"/>
  <c r="O112" i="23"/>
  <c r="M112" i="23"/>
  <c r="L112" i="23"/>
  <c r="H69" i="36"/>
  <c r="I22" i="37"/>
  <c r="G30" i="9"/>
  <c r="G29" i="9"/>
  <c r="F22" i="15" l="1"/>
  <c r="F68" i="36" l="1"/>
  <c r="H68" i="36"/>
  <c r="G40" i="25"/>
  <c r="I19" i="39" l="1"/>
  <c r="I28" i="14"/>
  <c r="H28" i="14"/>
  <c r="J28" i="15"/>
  <c r="J17" i="15"/>
  <c r="F17" i="15"/>
  <c r="F15" i="15"/>
  <c r="H61" i="27" l="1"/>
  <c r="I111" i="27"/>
  <c r="H111" i="27"/>
  <c r="I61" i="27"/>
  <c r="I53" i="14"/>
  <c r="H53" i="14"/>
  <c r="G53" i="14"/>
  <c r="F53" i="14"/>
  <c r="I20" i="37" l="1"/>
  <c r="G14" i="37"/>
  <c r="F173" i="41" l="1"/>
  <c r="L80" i="23" l="1"/>
  <c r="L79" i="23"/>
  <c r="L76" i="23"/>
  <c r="L77" i="23"/>
  <c r="L75" i="23"/>
  <c r="T80" i="23"/>
  <c r="S80" i="23"/>
  <c r="R80" i="23"/>
  <c r="E232" i="41" s="1"/>
  <c r="Q80" i="23"/>
  <c r="P80" i="23"/>
  <c r="O80" i="23"/>
  <c r="N80" i="23"/>
  <c r="M80" i="23"/>
  <c r="K80" i="23"/>
  <c r="T79" i="23"/>
  <c r="S79" i="23"/>
  <c r="R79" i="23"/>
  <c r="Q79" i="23"/>
  <c r="P79" i="23"/>
  <c r="O79" i="23"/>
  <c r="N79" i="23"/>
  <c r="M79" i="23"/>
  <c r="T77" i="23"/>
  <c r="S77" i="23"/>
  <c r="R77" i="23"/>
  <c r="E231" i="41" s="1"/>
  <c r="Q77" i="23"/>
  <c r="P77" i="23"/>
  <c r="O77" i="23"/>
  <c r="N77" i="23"/>
  <c r="M77" i="23"/>
  <c r="K77" i="23"/>
  <c r="T76" i="23"/>
  <c r="S76" i="23"/>
  <c r="Q76" i="23"/>
  <c r="P76" i="23"/>
  <c r="O76" i="23"/>
  <c r="N76" i="23"/>
  <c r="M76" i="23"/>
  <c r="T75" i="23"/>
  <c r="I46" i="37" s="1"/>
  <c r="S75" i="23"/>
  <c r="I47" i="37" s="1"/>
  <c r="Q75" i="23"/>
  <c r="P75" i="23"/>
  <c r="O75" i="23"/>
  <c r="N75" i="23"/>
  <c r="M75" i="23"/>
  <c r="H46" i="37" s="1"/>
  <c r="G46" i="14"/>
  <c r="G43" i="14" s="1"/>
  <c r="H46" i="14"/>
  <c r="I46" i="14"/>
  <c r="F36" i="14"/>
  <c r="F46" i="14"/>
  <c r="F43" i="14" s="1"/>
  <c r="I32" i="14"/>
  <c r="H32" i="14"/>
  <c r="G32" i="14"/>
  <c r="G29" i="14" s="1"/>
  <c r="F32" i="14"/>
  <c r="F29" i="14" s="1"/>
  <c r="F27" i="14" s="1"/>
  <c r="I36" i="14"/>
  <c r="H36" i="14"/>
  <c r="G36" i="14"/>
  <c r="G51" i="14"/>
  <c r="G18" i="14"/>
  <c r="G17" i="14" s="1"/>
  <c r="G16" i="14" s="1"/>
  <c r="I14" i="14"/>
  <c r="H14" i="14"/>
  <c r="G14" i="14"/>
  <c r="F14" i="14"/>
  <c r="I14" i="9"/>
  <c r="H14" i="9"/>
  <c r="G14" i="9"/>
  <c r="F14" i="9"/>
  <c r="G16" i="9"/>
  <c r="G28" i="9"/>
  <c r="G25" i="9" s="1"/>
  <c r="G14" i="7"/>
  <c r="I14" i="7"/>
  <c r="H14" i="7"/>
  <c r="F14" i="7"/>
  <c r="G77" i="7"/>
  <c r="G69" i="7"/>
  <c r="G48" i="7"/>
  <c r="G45" i="7"/>
  <c r="G33" i="7"/>
  <c r="G23" i="7"/>
  <c r="G16" i="7"/>
  <c r="AH48" i="3"/>
  <c r="I21" i="37" s="1"/>
  <c r="AH17" i="3"/>
  <c r="I19" i="37" s="1"/>
  <c r="G36" i="9" l="1"/>
  <c r="G79" i="7"/>
  <c r="G55" i="7"/>
  <c r="G43" i="7"/>
  <c r="G57" i="7" s="1"/>
  <c r="G60" i="7" s="1"/>
  <c r="G41" i="14"/>
  <c r="T78" i="23"/>
  <c r="S81" i="23"/>
  <c r="P78" i="23"/>
  <c r="F32" i="41" s="1"/>
  <c r="F30" i="41" s="1"/>
  <c r="O81" i="23"/>
  <c r="V79" i="23"/>
  <c r="N78" i="23"/>
  <c r="M81" i="23"/>
  <c r="Q81" i="23"/>
  <c r="L81" i="23"/>
  <c r="O78" i="23"/>
  <c r="S78" i="23"/>
  <c r="N81" i="23"/>
  <c r="R81" i="23"/>
  <c r="M78" i="23"/>
  <c r="Q78" i="23"/>
  <c r="P81" i="23"/>
  <c r="F52" i="41" s="1"/>
  <c r="T81" i="23"/>
  <c r="L78" i="23"/>
  <c r="G27" i="14"/>
  <c r="Z41" i="1"/>
  <c r="I18" i="37" s="1"/>
  <c r="Z40" i="1"/>
  <c r="I17" i="37" s="1"/>
  <c r="Z27" i="1"/>
  <c r="Z25" i="1"/>
  <c r="Z23" i="1"/>
  <c r="Z16" i="1"/>
  <c r="I15" i="37" s="1"/>
  <c r="G58" i="14" l="1"/>
  <c r="G23" i="37" s="1"/>
  <c r="G24" i="37"/>
  <c r="G85" i="7"/>
  <c r="Z38" i="1"/>
  <c r="I16" i="37" s="1"/>
  <c r="I28" i="9" l="1"/>
  <c r="I25" i="9" s="1"/>
  <c r="H28" i="9"/>
  <c r="H25" i="9" s="1"/>
  <c r="F28" i="9"/>
  <c r="F25" i="9" s="1"/>
  <c r="K89" i="39" l="1"/>
  <c r="F26" i="31" s="1"/>
  <c r="J89" i="39"/>
  <c r="I89" i="39"/>
  <c r="H89" i="39"/>
  <c r="J88" i="39"/>
  <c r="K88" i="39"/>
  <c r="F27" i="31" s="1"/>
  <c r="I88" i="39"/>
  <c r="H88" i="39"/>
  <c r="K87" i="39"/>
  <c r="J87" i="39"/>
  <c r="I87" i="39"/>
  <c r="H87" i="39"/>
  <c r="K49" i="39"/>
  <c r="N50" i="39"/>
  <c r="N49" i="39"/>
  <c r="O50" i="39"/>
  <c r="F30" i="31" s="1"/>
  <c r="O49" i="39"/>
  <c r="F31" i="31" s="1"/>
  <c r="O48" i="39"/>
  <c r="N48" i="39"/>
  <c r="K48" i="39"/>
  <c r="H49" i="39"/>
  <c r="H48" i="39"/>
  <c r="O47" i="39"/>
  <c r="N47" i="39"/>
  <c r="F29" i="31" l="1"/>
  <c r="H23" i="39"/>
  <c r="V57" i="39"/>
  <c r="V59" i="39"/>
  <c r="V60" i="39"/>
  <c r="V61" i="39"/>
  <c r="V62" i="39"/>
  <c r="V63" i="39"/>
  <c r="V64" i="39"/>
  <c r="V65" i="39"/>
  <c r="V66" i="39"/>
  <c r="V67" i="39"/>
  <c r="V68" i="39"/>
  <c r="V69" i="39"/>
  <c r="V70" i="39"/>
  <c r="V71" i="39"/>
  <c r="V72" i="39"/>
  <c r="V73" i="39"/>
  <c r="V74" i="39"/>
  <c r="V75" i="39"/>
  <c r="V76" i="39"/>
  <c r="V77" i="39"/>
  <c r="V78" i="39"/>
  <c r="V79" i="39"/>
  <c r="V80" i="39"/>
  <c r="V81" i="39"/>
  <c r="V82" i="39"/>
  <c r="V83" i="39"/>
  <c r="V84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H24" i="39"/>
  <c r="H25" i="39"/>
  <c r="H26" i="39"/>
  <c r="H27" i="39"/>
  <c r="V27" i="39" s="1"/>
  <c r="H28" i="39"/>
  <c r="V28" i="39" s="1"/>
  <c r="H29" i="39"/>
  <c r="V29" i="39" s="1"/>
  <c r="H30" i="39"/>
  <c r="H31" i="39"/>
  <c r="H32" i="39"/>
  <c r="H33" i="39"/>
  <c r="H34" i="39"/>
  <c r="H35" i="39"/>
  <c r="V25" i="39" l="1"/>
  <c r="V24" i="39"/>
  <c r="V33" i="39"/>
  <c r="V32" i="39"/>
  <c r="V35" i="39"/>
  <c r="V34" i="39"/>
  <c r="V31" i="39"/>
  <c r="V30" i="39"/>
  <c r="V26" i="39"/>
  <c r="V23" i="39"/>
  <c r="K105" i="39"/>
  <c r="J105" i="39"/>
  <c r="I105" i="39"/>
  <c r="H105" i="39"/>
  <c r="V95" i="39" l="1"/>
  <c r="V96" i="39"/>
  <c r="V97" i="39"/>
  <c r="V98" i="39"/>
  <c r="V99" i="39"/>
  <c r="V100" i="39"/>
  <c r="V101" i="39"/>
  <c r="V102" i="39"/>
  <c r="V103" i="39"/>
  <c r="V94" i="39"/>
  <c r="V55" i="39"/>
  <c r="R6" i="39"/>
  <c r="F28" i="31" l="1"/>
  <c r="O30" i="21" l="1"/>
  <c r="N30" i="21"/>
  <c r="M30" i="21"/>
  <c r="L30" i="21"/>
  <c r="K30" i="21"/>
  <c r="J30" i="21"/>
  <c r="I30" i="21"/>
  <c r="H30" i="21"/>
  <c r="G30" i="21"/>
  <c r="F30" i="21"/>
  <c r="J44" i="20"/>
  <c r="I44" i="20"/>
  <c r="H44" i="20"/>
  <c r="G44" i="20"/>
  <c r="Y93" i="39" l="1"/>
  <c r="X93" i="39"/>
  <c r="Y54" i="39"/>
  <c r="X54" i="39"/>
  <c r="Y17" i="39"/>
  <c r="X17" i="39"/>
  <c r="D12" i="34" l="1"/>
  <c r="C12" i="41"/>
  <c r="D12" i="42" l="1"/>
  <c r="D13" i="29"/>
  <c r="M43" i="23" l="1"/>
  <c r="N43" i="23"/>
  <c r="M49" i="23"/>
  <c r="N49" i="23"/>
  <c r="H53" i="41" l="1"/>
  <c r="G49" i="41"/>
  <c r="E49" i="41"/>
  <c r="T111" i="23"/>
  <c r="I49" i="37" s="1"/>
  <c r="Q111" i="23"/>
  <c r="P111" i="23"/>
  <c r="P112" i="23" s="1"/>
  <c r="O111" i="23"/>
  <c r="N111" i="23"/>
  <c r="N112" i="23" s="1"/>
  <c r="M111" i="23"/>
  <c r="H49" i="37" s="1"/>
  <c r="L111" i="23"/>
  <c r="R110" i="23"/>
  <c r="R109" i="23"/>
  <c r="R108" i="23"/>
  <c r="R107" i="23"/>
  <c r="R106" i="23"/>
  <c r="R105" i="23"/>
  <c r="R104" i="23"/>
  <c r="R103" i="23"/>
  <c r="R102" i="23"/>
  <c r="R101" i="23"/>
  <c r="R100" i="23"/>
  <c r="R99" i="23"/>
  <c r="R98" i="23"/>
  <c r="R97" i="23"/>
  <c r="R96" i="23"/>
  <c r="R95" i="23"/>
  <c r="R94" i="23"/>
  <c r="R93" i="23"/>
  <c r="R92" i="23"/>
  <c r="R91" i="23"/>
  <c r="R90" i="23"/>
  <c r="R89" i="23"/>
  <c r="R88" i="23"/>
  <c r="R87" i="23"/>
  <c r="S111" i="23" s="1"/>
  <c r="I50" i="37" s="1"/>
  <c r="R86" i="23"/>
  <c r="R85" i="23"/>
  <c r="Q85" i="23"/>
  <c r="P85" i="23"/>
  <c r="O85" i="23"/>
  <c r="N85" i="23"/>
  <c r="M85" i="23"/>
  <c r="H52" i="41"/>
  <c r="R74" i="23"/>
  <c r="R73" i="23"/>
  <c r="R72" i="23"/>
  <c r="R71" i="23"/>
  <c r="R70" i="23"/>
  <c r="R69" i="23"/>
  <c r="R68" i="23"/>
  <c r="R67" i="23"/>
  <c r="R66" i="23"/>
  <c r="R65" i="23"/>
  <c r="R64" i="23"/>
  <c r="R63" i="23"/>
  <c r="R62" i="23"/>
  <c r="R61" i="23"/>
  <c r="R60" i="23"/>
  <c r="R59" i="23"/>
  <c r="R58" i="23"/>
  <c r="R57" i="23"/>
  <c r="R56" i="23"/>
  <c r="R55" i="23"/>
  <c r="R54" i="23"/>
  <c r="R53" i="23"/>
  <c r="R52" i="23"/>
  <c r="R51" i="23"/>
  <c r="R50" i="23"/>
  <c r="R76" i="23" s="1"/>
  <c r="R49" i="23"/>
  <c r="Q49" i="23"/>
  <c r="P49" i="23"/>
  <c r="O49" i="23"/>
  <c r="V76" i="23" l="1"/>
  <c r="R78" i="23"/>
  <c r="R75" i="23"/>
  <c r="V75" i="23" s="1"/>
  <c r="I48" i="37" s="1"/>
  <c r="R111" i="23"/>
  <c r="R112" i="23" s="1"/>
  <c r="K86" i="39" l="1"/>
  <c r="F25" i="31" s="1"/>
  <c r="J86" i="39"/>
  <c r="I86" i="39"/>
  <c r="I43" i="37" s="1"/>
  <c r="H86" i="39"/>
  <c r="H43" i="37" s="1"/>
  <c r="K25" i="42" l="1"/>
  <c r="K26" i="42"/>
  <c r="K27" i="42"/>
  <c r="K24" i="42"/>
  <c r="K16" i="42"/>
  <c r="K17" i="42"/>
  <c r="K18" i="42"/>
  <c r="K15" i="42"/>
  <c r="G19" i="42"/>
  <c r="H19" i="42"/>
  <c r="I19" i="42"/>
  <c r="J19" i="42"/>
  <c r="F19" i="42"/>
  <c r="H56" i="37" s="1"/>
  <c r="F28" i="42"/>
  <c r="H57" i="37" s="1"/>
  <c r="G28" i="42"/>
  <c r="H28" i="42"/>
  <c r="I28" i="42"/>
  <c r="J28" i="42"/>
  <c r="K14" i="42"/>
  <c r="K23" i="42"/>
  <c r="F23" i="42"/>
  <c r="F14" i="42"/>
  <c r="E9" i="42"/>
  <c r="L6" i="42"/>
  <c r="E3" i="42"/>
  <c r="E2" i="42"/>
  <c r="F42" i="29" l="1"/>
  <c r="K19" i="42"/>
  <c r="I56" i="37" s="1"/>
  <c r="K28" i="42"/>
  <c r="I57" i="37" s="1"/>
  <c r="F41" i="29"/>
  <c r="F38" i="29"/>
  <c r="F35" i="29"/>
  <c r="H33" i="7"/>
  <c r="I33" i="7"/>
  <c r="F33" i="7"/>
  <c r="O31" i="15"/>
  <c r="O20" i="15"/>
  <c r="F37" i="29"/>
  <c r="F36" i="29"/>
  <c r="H48" i="7"/>
  <c r="I48" i="7"/>
  <c r="F48" i="7"/>
  <c r="F25" i="29"/>
  <c r="F26" i="29"/>
  <c r="H45" i="7"/>
  <c r="I45" i="7"/>
  <c r="F45" i="7"/>
  <c r="H55" i="7" l="1"/>
  <c r="F55" i="7"/>
  <c r="I55" i="7"/>
  <c r="F24" i="31"/>
  <c r="F61" i="36"/>
  <c r="H61" i="36"/>
  <c r="E154" i="41" s="1"/>
  <c r="G61" i="36"/>
  <c r="H57" i="36"/>
  <c r="G57" i="36"/>
  <c r="F57" i="36"/>
  <c r="H52" i="36"/>
  <c r="E83" i="41" s="1"/>
  <c r="G52" i="36"/>
  <c r="F52" i="36"/>
  <c r="H48" i="36"/>
  <c r="G48" i="36"/>
  <c r="F48" i="36"/>
  <c r="D3" i="41"/>
  <c r="D2" i="41"/>
  <c r="E3" i="34"/>
  <c r="E2" i="34"/>
  <c r="E3" i="31"/>
  <c r="E2" i="31"/>
  <c r="E3" i="29"/>
  <c r="E2" i="29"/>
  <c r="F3" i="28"/>
  <c r="F2" i="28"/>
  <c r="E3" i="27"/>
  <c r="E2" i="27"/>
  <c r="F3" i="25"/>
  <c r="F2" i="25"/>
  <c r="E3" i="21"/>
  <c r="E2" i="21"/>
  <c r="E3" i="20"/>
  <c r="E2" i="20"/>
  <c r="E3" i="23"/>
  <c r="E2" i="23"/>
  <c r="E3" i="39"/>
  <c r="E2" i="39"/>
  <c r="E3" i="17"/>
  <c r="E2" i="17"/>
  <c r="E3" i="15"/>
  <c r="E2" i="15"/>
  <c r="E3" i="13"/>
  <c r="E2" i="13"/>
  <c r="E3" i="14"/>
  <c r="E2" i="14"/>
  <c r="E3" i="9"/>
  <c r="E2" i="9"/>
  <c r="E3" i="36"/>
  <c r="E2" i="36"/>
  <c r="E3" i="7"/>
  <c r="E2" i="7"/>
  <c r="E3" i="3"/>
  <c r="E2" i="3"/>
  <c r="E3" i="1"/>
  <c r="E2" i="1"/>
  <c r="E3" i="37"/>
  <c r="E2" i="37"/>
  <c r="G56" i="36" l="1"/>
  <c r="F23" i="31"/>
  <c r="F47" i="36"/>
  <c r="G47" i="36"/>
  <c r="H28" i="37" s="1"/>
  <c r="F56" i="36"/>
  <c r="H47" i="36"/>
  <c r="E26" i="41"/>
  <c r="H26" i="41" s="1"/>
  <c r="H56" i="36"/>
  <c r="E101" i="41"/>
  <c r="H101" i="41" s="1"/>
  <c r="F28" i="29"/>
  <c r="H154" i="41"/>
  <c r="F39" i="29"/>
  <c r="G163" i="41"/>
  <c r="G172" i="41"/>
  <c r="G179" i="41"/>
  <c r="G187" i="41"/>
  <c r="F18" i="41"/>
  <c r="G18" i="41"/>
  <c r="H27" i="41"/>
  <c r="H28" i="41"/>
  <c r="H29" i="41"/>
  <c r="F34" i="29"/>
  <c r="F189" i="41"/>
  <c r="F16" i="7"/>
  <c r="F23" i="7"/>
  <c r="F69" i="7"/>
  <c r="F77" i="7"/>
  <c r="I16" i="7"/>
  <c r="I23" i="7"/>
  <c r="I69" i="7"/>
  <c r="I77" i="7"/>
  <c r="H16" i="7"/>
  <c r="H23" i="7"/>
  <c r="H69" i="7"/>
  <c r="H77" i="7"/>
  <c r="H79" i="7"/>
  <c r="F23" i="29"/>
  <c r="F22" i="29"/>
  <c r="G170" i="41"/>
  <c r="F174" i="41"/>
  <c r="F175" i="41"/>
  <c r="F176" i="41"/>
  <c r="F177" i="41"/>
  <c r="F178" i="41"/>
  <c r="F182" i="41"/>
  <c r="F183" i="41"/>
  <c r="F184" i="41"/>
  <c r="F188" i="41"/>
  <c r="F191" i="41"/>
  <c r="G191" i="41"/>
  <c r="E19" i="41"/>
  <c r="E24" i="41"/>
  <c r="H24" i="41" s="1"/>
  <c r="E25" i="41"/>
  <c r="H25" i="41" s="1"/>
  <c r="E31" i="41"/>
  <c r="H31" i="41" s="1"/>
  <c r="E37" i="41"/>
  <c r="H37" i="41" s="1"/>
  <c r="E36" i="41"/>
  <c r="H36" i="41" s="1"/>
  <c r="E77" i="41"/>
  <c r="E78" i="41"/>
  <c r="H78" i="41" s="1"/>
  <c r="E79" i="41"/>
  <c r="H79" i="41" s="1"/>
  <c r="E80" i="41"/>
  <c r="H80" i="41" s="1"/>
  <c r="E81" i="41"/>
  <c r="H81" i="41" s="1"/>
  <c r="E82" i="41"/>
  <c r="H82" i="41" s="1"/>
  <c r="H83" i="41"/>
  <c r="H84" i="41"/>
  <c r="E92" i="41"/>
  <c r="H92" i="41" s="1"/>
  <c r="E97" i="41"/>
  <c r="E98" i="41"/>
  <c r="H98" i="41" s="1"/>
  <c r="E99" i="41"/>
  <c r="H99" i="41" s="1"/>
  <c r="E104" i="41"/>
  <c r="H104" i="41" s="1"/>
  <c r="E150" i="41"/>
  <c r="E151" i="41"/>
  <c r="H151" i="41" s="1"/>
  <c r="E152" i="41"/>
  <c r="H152" i="41" s="1"/>
  <c r="E153" i="41"/>
  <c r="H153" i="41" s="1"/>
  <c r="E155" i="41"/>
  <c r="H155" i="41" s="1"/>
  <c r="R118" i="23"/>
  <c r="Q118" i="23"/>
  <c r="P118" i="23"/>
  <c r="O118" i="23"/>
  <c r="N118" i="23"/>
  <c r="M118" i="23"/>
  <c r="O14" i="21"/>
  <c r="N14" i="21"/>
  <c r="M14" i="21"/>
  <c r="L14" i="21"/>
  <c r="K14" i="21"/>
  <c r="J14" i="21"/>
  <c r="I14" i="21"/>
  <c r="H14" i="21"/>
  <c r="G14" i="21"/>
  <c r="F14" i="21"/>
  <c r="K42" i="39"/>
  <c r="K36" i="39"/>
  <c r="K37" i="39"/>
  <c r="K38" i="39"/>
  <c r="K39" i="39"/>
  <c r="K40" i="39"/>
  <c r="K41" i="39"/>
  <c r="K22" i="39"/>
  <c r="K50" i="39" s="1"/>
  <c r="K21" i="39"/>
  <c r="K47" i="39" s="1"/>
  <c r="H42" i="39"/>
  <c r="H36" i="39"/>
  <c r="H37" i="39"/>
  <c r="H38" i="39"/>
  <c r="H39" i="39"/>
  <c r="H40" i="39"/>
  <c r="H41" i="39"/>
  <c r="H22" i="39"/>
  <c r="H21" i="39"/>
  <c r="H47" i="39" s="1"/>
  <c r="E162" i="41"/>
  <c r="F186" i="41"/>
  <c r="F181" i="41"/>
  <c r="F180" i="41"/>
  <c r="E23" i="41"/>
  <c r="H23" i="41" s="1"/>
  <c r="E22" i="41"/>
  <c r="H22" i="41" s="1"/>
  <c r="E21" i="41"/>
  <c r="H21" i="41" s="1"/>
  <c r="E20" i="41"/>
  <c r="H20" i="41" s="1"/>
  <c r="E56" i="41"/>
  <c r="E63" i="41"/>
  <c r="E45" i="41"/>
  <c r="E54" i="41"/>
  <c r="E115" i="41"/>
  <c r="E120" i="41"/>
  <c r="E126" i="41"/>
  <c r="E133" i="41"/>
  <c r="F18" i="14"/>
  <c r="F17" i="14" s="1"/>
  <c r="F16" i="14" s="1"/>
  <c r="F51" i="14"/>
  <c r="I43" i="14"/>
  <c r="H43" i="14"/>
  <c r="I18" i="14"/>
  <c r="I17" i="14" s="1"/>
  <c r="I16" i="14" s="1"/>
  <c r="I29" i="14"/>
  <c r="I27" i="14" s="1"/>
  <c r="I51" i="14"/>
  <c r="H18" i="14"/>
  <c r="H17" i="14" s="1"/>
  <c r="H16" i="14" s="1"/>
  <c r="H29" i="14"/>
  <c r="H27" i="14" s="1"/>
  <c r="H51" i="14"/>
  <c r="I16" i="9"/>
  <c r="H16" i="9"/>
  <c r="F16" i="9"/>
  <c r="F36" i="9" s="1"/>
  <c r="D9" i="41"/>
  <c r="H6" i="41"/>
  <c r="S144" i="23"/>
  <c r="I52" i="37" s="1"/>
  <c r="T144" i="23"/>
  <c r="I51" i="37" s="1"/>
  <c r="R119" i="23"/>
  <c r="L144" i="23"/>
  <c r="R18" i="23"/>
  <c r="T43" i="23"/>
  <c r="I44" i="37" s="1"/>
  <c r="S43" i="23"/>
  <c r="I45" i="37" s="1"/>
  <c r="Q43" i="23"/>
  <c r="P43" i="23"/>
  <c r="O43" i="23"/>
  <c r="F134" i="41" s="1"/>
  <c r="F64" i="41"/>
  <c r="H44" i="37"/>
  <c r="L43" i="23"/>
  <c r="R41" i="23"/>
  <c r="R33" i="23"/>
  <c r="L43" i="39"/>
  <c r="M43" i="39"/>
  <c r="I43" i="39"/>
  <c r="J43" i="39"/>
  <c r="J46" i="39" s="1"/>
  <c r="K45" i="39"/>
  <c r="I41" i="37" s="1"/>
  <c r="H45" i="39"/>
  <c r="H41" i="37" s="1"/>
  <c r="O43" i="39"/>
  <c r="E222" i="41" s="1"/>
  <c r="N43" i="39"/>
  <c r="L16" i="39"/>
  <c r="I16" i="39"/>
  <c r="F67" i="41"/>
  <c r="H67" i="41" s="1"/>
  <c r="R19" i="23"/>
  <c r="R20" i="23"/>
  <c r="R21" i="23"/>
  <c r="R22" i="23"/>
  <c r="R23" i="23"/>
  <c r="R24" i="23"/>
  <c r="R25" i="23"/>
  <c r="R26" i="23"/>
  <c r="R27" i="23"/>
  <c r="R28" i="23"/>
  <c r="I104" i="39"/>
  <c r="H87" i="36"/>
  <c r="F44" i="29" s="1"/>
  <c r="K44" i="29" s="1"/>
  <c r="H32" i="41"/>
  <c r="H33" i="41"/>
  <c r="H34" i="41"/>
  <c r="H38" i="41"/>
  <c r="H39" i="41"/>
  <c r="H40" i="41"/>
  <c r="H41" i="41"/>
  <c r="H42" i="41"/>
  <c r="H16" i="41"/>
  <c r="F16" i="34" s="1"/>
  <c r="H17" i="41"/>
  <c r="F17" i="34" s="1"/>
  <c r="L31" i="15"/>
  <c r="F46" i="41" s="1"/>
  <c r="H47" i="41"/>
  <c r="H48" i="41"/>
  <c r="I119" i="39"/>
  <c r="F29" i="29" s="1"/>
  <c r="I34" i="17"/>
  <c r="F58" i="41" s="1"/>
  <c r="H58" i="41" s="1"/>
  <c r="I25" i="17"/>
  <c r="F57" i="41" s="1"/>
  <c r="I49" i="17"/>
  <c r="F59" i="41" s="1"/>
  <c r="H59" i="41" s="1"/>
  <c r="I58" i="17"/>
  <c r="F60" i="41" s="1"/>
  <c r="H60" i="41" s="1"/>
  <c r="H61" i="41"/>
  <c r="H62" i="41"/>
  <c r="H65" i="41"/>
  <c r="H66" i="41"/>
  <c r="N144" i="23"/>
  <c r="F68" i="41" s="1"/>
  <c r="H68" i="41" s="1"/>
  <c r="H69" i="41"/>
  <c r="H70" i="41"/>
  <c r="H71" i="41"/>
  <c r="H100" i="41"/>
  <c r="H102" i="41"/>
  <c r="H93" i="41"/>
  <c r="H94" i="41"/>
  <c r="H95" i="41"/>
  <c r="H105" i="41"/>
  <c r="H106" i="41"/>
  <c r="H107" i="41"/>
  <c r="H108" i="41"/>
  <c r="H111" i="41"/>
  <c r="H112" i="41"/>
  <c r="H122" i="41"/>
  <c r="H123" i="41"/>
  <c r="G31" i="15"/>
  <c r="I31" i="15"/>
  <c r="F117" i="41" s="1"/>
  <c r="H117" i="41" s="1"/>
  <c r="H118" i="41"/>
  <c r="H119" i="41"/>
  <c r="H34" i="17"/>
  <c r="F128" i="41" s="1"/>
  <c r="H128" i="41" s="1"/>
  <c r="H25" i="17"/>
  <c r="F127" i="41" s="1"/>
  <c r="H49" i="17"/>
  <c r="F129" i="41" s="1"/>
  <c r="H129" i="41" s="1"/>
  <c r="H58" i="17"/>
  <c r="F130" i="41" s="1"/>
  <c r="H130" i="41" s="1"/>
  <c r="H131" i="41"/>
  <c r="H132" i="41"/>
  <c r="F137" i="41"/>
  <c r="H137" i="41" s="1"/>
  <c r="H135" i="41"/>
  <c r="H136" i="41"/>
  <c r="O144" i="23"/>
  <c r="F138" i="41" s="1"/>
  <c r="H138" i="41" s="1"/>
  <c r="H139" i="41"/>
  <c r="H140" i="41"/>
  <c r="H141" i="41"/>
  <c r="H156" i="41"/>
  <c r="H31" i="15"/>
  <c r="F166" i="41" s="1"/>
  <c r="J31" i="15"/>
  <c r="I34" i="37" s="1"/>
  <c r="K31" i="15"/>
  <c r="F168" i="41" s="1"/>
  <c r="M31" i="15"/>
  <c r="F169" i="41" s="1"/>
  <c r="J34" i="17"/>
  <c r="J25" i="17"/>
  <c r="J49" i="17"/>
  <c r="J58" i="17"/>
  <c r="F91" i="41"/>
  <c r="F96" i="41"/>
  <c r="F103" i="41"/>
  <c r="F109" i="41"/>
  <c r="F149" i="41"/>
  <c r="F35" i="41"/>
  <c r="F76" i="41"/>
  <c r="G56" i="41"/>
  <c r="G63" i="41"/>
  <c r="G45" i="41"/>
  <c r="G30" i="41"/>
  <c r="G35" i="41"/>
  <c r="G76" i="41"/>
  <c r="G91" i="41"/>
  <c r="G96" i="41"/>
  <c r="G103" i="41"/>
  <c r="G109" i="41"/>
  <c r="G115" i="41"/>
  <c r="G120" i="41"/>
  <c r="G126" i="41"/>
  <c r="G133" i="41"/>
  <c r="G149" i="41"/>
  <c r="I85" i="39"/>
  <c r="R120" i="23"/>
  <c r="R121" i="23"/>
  <c r="R122" i="23"/>
  <c r="R123" i="23"/>
  <c r="R124" i="23"/>
  <c r="R125" i="23"/>
  <c r="R126" i="23"/>
  <c r="R127" i="23"/>
  <c r="R128" i="23"/>
  <c r="R129" i="23"/>
  <c r="R130" i="23"/>
  <c r="R131" i="23"/>
  <c r="R132" i="23"/>
  <c r="R133" i="23"/>
  <c r="R134" i="23"/>
  <c r="R135" i="23"/>
  <c r="R136" i="23"/>
  <c r="R137" i="23"/>
  <c r="R138" i="23"/>
  <c r="R139" i="23"/>
  <c r="R140" i="23"/>
  <c r="R141" i="23"/>
  <c r="R142" i="23"/>
  <c r="R143" i="23"/>
  <c r="Q144" i="23"/>
  <c r="P144" i="23"/>
  <c r="M144" i="23"/>
  <c r="H51" i="37" s="1"/>
  <c r="H104" i="39"/>
  <c r="H85" i="39"/>
  <c r="H19" i="39"/>
  <c r="K17" i="39"/>
  <c r="H17" i="39"/>
  <c r="L135" i="39"/>
  <c r="H135" i="39"/>
  <c r="H119" i="39"/>
  <c r="I108" i="39"/>
  <c r="H108" i="39"/>
  <c r="K104" i="39"/>
  <c r="E224" i="41" s="1"/>
  <c r="J104" i="39"/>
  <c r="K93" i="39"/>
  <c r="J93" i="39"/>
  <c r="I93" i="39"/>
  <c r="H93" i="39"/>
  <c r="K85" i="39"/>
  <c r="E223" i="41" s="1"/>
  <c r="J85" i="39"/>
  <c r="K54" i="39"/>
  <c r="J54" i="39"/>
  <c r="I54" i="39"/>
  <c r="H54" i="39"/>
  <c r="O17" i="39"/>
  <c r="N17" i="39"/>
  <c r="E9" i="39"/>
  <c r="K39" i="25"/>
  <c r="K40" i="25"/>
  <c r="K41" i="25"/>
  <c r="K42" i="25"/>
  <c r="K43" i="25"/>
  <c r="K44" i="25"/>
  <c r="G53" i="25"/>
  <c r="K51" i="17"/>
  <c r="K52" i="17"/>
  <c r="K53" i="17"/>
  <c r="K54" i="17"/>
  <c r="K55" i="17"/>
  <c r="K56" i="17"/>
  <c r="K57" i="17"/>
  <c r="K27" i="17"/>
  <c r="K28" i="17"/>
  <c r="K29" i="17"/>
  <c r="K30" i="17"/>
  <c r="K31" i="17"/>
  <c r="K32" i="17"/>
  <c r="K33" i="17"/>
  <c r="K42" i="17"/>
  <c r="K43" i="17"/>
  <c r="K44" i="17"/>
  <c r="K45" i="17"/>
  <c r="K46" i="17"/>
  <c r="K47" i="17"/>
  <c r="K48" i="17"/>
  <c r="K18" i="17"/>
  <c r="K19" i="17"/>
  <c r="K20" i="17"/>
  <c r="K21" i="17"/>
  <c r="K22" i="17"/>
  <c r="K23" i="17"/>
  <c r="K24" i="17"/>
  <c r="N18" i="15"/>
  <c r="N19" i="15"/>
  <c r="F30" i="15" s="1"/>
  <c r="N30" i="15" s="1"/>
  <c r="P31" i="3"/>
  <c r="R29" i="23"/>
  <c r="R30" i="23"/>
  <c r="R31" i="23"/>
  <c r="R32" i="23"/>
  <c r="R34" i="23"/>
  <c r="R35" i="23"/>
  <c r="R36" i="23"/>
  <c r="R37" i="23"/>
  <c r="R38" i="23"/>
  <c r="R39" i="23"/>
  <c r="R40" i="23"/>
  <c r="R42" i="23"/>
  <c r="R17" i="23"/>
  <c r="Q17" i="23"/>
  <c r="P17" i="23"/>
  <c r="O17" i="23"/>
  <c r="N17" i="23"/>
  <c r="M17" i="23"/>
  <c r="J46" i="13"/>
  <c r="H53" i="13"/>
  <c r="H51" i="13"/>
  <c r="G49" i="13"/>
  <c r="H86" i="36"/>
  <c r="J31" i="3"/>
  <c r="J15" i="3"/>
  <c r="P15" i="3"/>
  <c r="J15" i="20"/>
  <c r="L46" i="13"/>
  <c r="H46" i="13"/>
  <c r="I46" i="13"/>
  <c r="K46" i="13"/>
  <c r="M46" i="13"/>
  <c r="N46" i="13"/>
  <c r="L32" i="36"/>
  <c r="L36" i="36"/>
  <c r="G19" i="20"/>
  <c r="G29" i="20" s="1"/>
  <c r="G42" i="20" s="1"/>
  <c r="G54" i="20" s="1"/>
  <c r="J20" i="15"/>
  <c r="H34" i="37" s="1"/>
  <c r="N22" i="15"/>
  <c r="N17" i="15"/>
  <c r="F28" i="15" s="1"/>
  <c r="N28" i="15" s="1"/>
  <c r="N16" i="15"/>
  <c r="N15" i="15"/>
  <c r="H30" i="37" s="1"/>
  <c r="H77" i="36"/>
  <c r="G77" i="36"/>
  <c r="F77" i="36"/>
  <c r="H73" i="36"/>
  <c r="I27" i="37" s="1"/>
  <c r="F73" i="36"/>
  <c r="F27" i="37" s="1"/>
  <c r="G73" i="36"/>
  <c r="H27" i="37" s="1"/>
  <c r="L16" i="36"/>
  <c r="L20" i="36"/>
  <c r="L25" i="36"/>
  <c r="L40" i="36"/>
  <c r="F21" i="31" s="1"/>
  <c r="F16" i="36"/>
  <c r="F20" i="36"/>
  <c r="F25" i="36"/>
  <c r="F32" i="36"/>
  <c r="F36" i="36"/>
  <c r="F40" i="36"/>
  <c r="I16" i="36"/>
  <c r="I20" i="36"/>
  <c r="I25" i="36"/>
  <c r="I32" i="36"/>
  <c r="I36" i="36"/>
  <c r="I40" i="36"/>
  <c r="M16" i="36"/>
  <c r="M20" i="36"/>
  <c r="M25" i="36"/>
  <c r="M32" i="36"/>
  <c r="M36" i="36"/>
  <c r="M40" i="36"/>
  <c r="J16" i="36"/>
  <c r="J20" i="36"/>
  <c r="J25" i="36"/>
  <c r="J32" i="36"/>
  <c r="J36" i="36"/>
  <c r="J31" i="36" s="1"/>
  <c r="J40" i="36"/>
  <c r="G16" i="36"/>
  <c r="G20" i="36"/>
  <c r="G25" i="36"/>
  <c r="G32" i="36"/>
  <c r="G36" i="36"/>
  <c r="G40" i="36"/>
  <c r="F33" i="31"/>
  <c r="H72" i="36"/>
  <c r="G72" i="36"/>
  <c r="F72" i="36"/>
  <c r="G46" i="13"/>
  <c r="F46" i="13"/>
  <c r="F14" i="37"/>
  <c r="H14" i="37"/>
  <c r="I14" i="37"/>
  <c r="E9" i="37"/>
  <c r="I6" i="37"/>
  <c r="H67" i="36"/>
  <c r="G67" i="36"/>
  <c r="F67" i="36"/>
  <c r="H46" i="36"/>
  <c r="G46" i="36"/>
  <c r="F46" i="36"/>
  <c r="N14" i="36"/>
  <c r="K14" i="36"/>
  <c r="H14" i="36"/>
  <c r="E9" i="36"/>
  <c r="N6" i="36"/>
  <c r="E9" i="34"/>
  <c r="F6" i="34"/>
  <c r="E9" i="31"/>
  <c r="G6" i="31"/>
  <c r="F18" i="29"/>
  <c r="E9" i="29"/>
  <c r="H6" i="29"/>
  <c r="H33" i="28"/>
  <c r="G33" i="28"/>
  <c r="H16" i="28"/>
  <c r="F9" i="28"/>
  <c r="I6" i="28"/>
  <c r="E9" i="27"/>
  <c r="I6" i="27"/>
  <c r="F45" i="25"/>
  <c r="G30" i="25" s="1"/>
  <c r="J45" i="25"/>
  <c r="I45" i="25"/>
  <c r="H45" i="25"/>
  <c r="G45" i="25"/>
  <c r="D28" i="25"/>
  <c r="F9" i="25"/>
  <c r="K6" i="25"/>
  <c r="E9" i="23"/>
  <c r="T6" i="23"/>
  <c r="O23" i="21"/>
  <c r="O28" i="21" s="1"/>
  <c r="O40" i="21" s="1"/>
  <c r="N23" i="21"/>
  <c r="N28" i="21" s="1"/>
  <c r="N40" i="21" s="1"/>
  <c r="M23" i="21"/>
  <c r="M28" i="21" s="1"/>
  <c r="M40" i="21" s="1"/>
  <c r="L23" i="21"/>
  <c r="L28" i="21" s="1"/>
  <c r="L40" i="21" s="1"/>
  <c r="K23" i="21"/>
  <c r="K28" i="21" s="1"/>
  <c r="K40" i="21" s="1"/>
  <c r="J23" i="21"/>
  <c r="J28" i="21" s="1"/>
  <c r="J40" i="21" s="1"/>
  <c r="I23" i="21"/>
  <c r="I28" i="21" s="1"/>
  <c r="I40" i="21" s="1"/>
  <c r="H23" i="21"/>
  <c r="H28" i="21" s="1"/>
  <c r="H40" i="21" s="1"/>
  <c r="G23" i="21"/>
  <c r="G28" i="21" s="1"/>
  <c r="G40" i="21" s="1"/>
  <c r="F23" i="21"/>
  <c r="F28" i="21" s="1"/>
  <c r="F40" i="21" s="1"/>
  <c r="E9" i="21"/>
  <c r="O6" i="21"/>
  <c r="J35" i="20"/>
  <c r="I35" i="20"/>
  <c r="H35" i="20"/>
  <c r="J31" i="20"/>
  <c r="I31" i="20"/>
  <c r="H31" i="20"/>
  <c r="J19" i="20"/>
  <c r="J29" i="20" s="1"/>
  <c r="J42" i="20" s="1"/>
  <c r="J54" i="20" s="1"/>
  <c r="I19" i="20"/>
  <c r="I29" i="20" s="1"/>
  <c r="I42" i="20" s="1"/>
  <c r="I54" i="20" s="1"/>
  <c r="H19" i="20"/>
  <c r="H29" i="20" s="1"/>
  <c r="H42" i="20" s="1"/>
  <c r="H54" i="20" s="1"/>
  <c r="G35" i="20"/>
  <c r="G31" i="20"/>
  <c r="I15" i="20"/>
  <c r="H15" i="20"/>
  <c r="G15" i="20"/>
  <c r="E9" i="20"/>
  <c r="J6" i="20"/>
  <c r="M58" i="17"/>
  <c r="G58" i="17"/>
  <c r="M49" i="17"/>
  <c r="G49" i="17"/>
  <c r="M40" i="17"/>
  <c r="K40" i="17"/>
  <c r="G40" i="17"/>
  <c r="M34" i="17"/>
  <c r="G34" i="17"/>
  <c r="M25" i="17"/>
  <c r="G25" i="17"/>
  <c r="M16" i="17"/>
  <c r="K16" i="17"/>
  <c r="G16" i="17"/>
  <c r="E9" i="17"/>
  <c r="N6" i="17"/>
  <c r="M20" i="15"/>
  <c r="L20" i="15"/>
  <c r="K20" i="15"/>
  <c r="I20" i="15"/>
  <c r="H20" i="15"/>
  <c r="G20" i="15"/>
  <c r="F20" i="15"/>
  <c r="N25" i="15"/>
  <c r="F25" i="15"/>
  <c r="E25" i="15"/>
  <c r="E14" i="15"/>
  <c r="N14" i="15"/>
  <c r="F14" i="15"/>
  <c r="E9" i="15"/>
  <c r="P6" i="15"/>
  <c r="E9" i="14"/>
  <c r="I6" i="14"/>
  <c r="S46" i="13"/>
  <c r="R46" i="13"/>
  <c r="Q46" i="13"/>
  <c r="P46" i="13"/>
  <c r="O46" i="13"/>
  <c r="R13" i="13"/>
  <c r="R15" i="13"/>
  <c r="Q15" i="13"/>
  <c r="P15" i="13"/>
  <c r="O15" i="13"/>
  <c r="M15" i="13"/>
  <c r="L15" i="13"/>
  <c r="K15" i="13"/>
  <c r="J15" i="13"/>
  <c r="I15" i="13"/>
  <c r="E9" i="13"/>
  <c r="S6" i="13"/>
  <c r="E9" i="9"/>
  <c r="I6" i="9"/>
  <c r="E9" i="7"/>
  <c r="I6" i="7"/>
  <c r="Q6" i="3"/>
  <c r="E9" i="3"/>
  <c r="I6" i="1"/>
  <c r="E9" i="1"/>
  <c r="M6" i="4"/>
  <c r="I15" i="1"/>
  <c r="I13" i="1" s="1"/>
  <c r="I19" i="36" l="1"/>
  <c r="L31" i="36"/>
  <c r="H32" i="37"/>
  <c r="H191" i="41"/>
  <c r="G162" i="41"/>
  <c r="J19" i="36"/>
  <c r="F28" i="37"/>
  <c r="H31" i="37"/>
  <c r="F26" i="15"/>
  <c r="N26" i="15" s="1"/>
  <c r="I30" i="37" s="1"/>
  <c r="E225" i="41"/>
  <c r="V22" i="39"/>
  <c r="H50" i="39"/>
  <c r="F19" i="36"/>
  <c r="M19" i="39"/>
  <c r="H40" i="37"/>
  <c r="I42" i="37"/>
  <c r="I35" i="37"/>
  <c r="N20" i="15"/>
  <c r="F172" i="41"/>
  <c r="H172" i="41" s="1"/>
  <c r="E110" i="41"/>
  <c r="H110" i="41" s="1"/>
  <c r="F33" i="29"/>
  <c r="H30" i="41"/>
  <c r="E228" i="41" s="1"/>
  <c r="F185" i="41"/>
  <c r="F179" i="41" s="1"/>
  <c r="H179" i="41" s="1"/>
  <c r="H41" i="14"/>
  <c r="H58" i="14" s="1"/>
  <c r="F24" i="29"/>
  <c r="I59" i="37"/>
  <c r="F30" i="29"/>
  <c r="I58" i="37"/>
  <c r="J28" i="31"/>
  <c r="K58" i="17"/>
  <c r="I41" i="14"/>
  <c r="I58" i="14" s="1"/>
  <c r="I29" i="37"/>
  <c r="K49" i="17"/>
  <c r="F27" i="15"/>
  <c r="N27" i="15" s="1"/>
  <c r="H42" i="37"/>
  <c r="F121" i="41"/>
  <c r="F120" i="41" s="1"/>
  <c r="F79" i="7"/>
  <c r="V40" i="39"/>
  <c r="V36" i="39"/>
  <c r="V38" i="39"/>
  <c r="K43" i="39"/>
  <c r="F50" i="41" s="1"/>
  <c r="V41" i="39"/>
  <c r="V37" i="39"/>
  <c r="V21" i="39"/>
  <c r="V39" i="39"/>
  <c r="V42" i="39"/>
  <c r="H37" i="37"/>
  <c r="H36" i="37"/>
  <c r="K34" i="17"/>
  <c r="K25" i="17"/>
  <c r="I36" i="37" s="1"/>
  <c r="H36" i="9"/>
  <c r="I36" i="9"/>
  <c r="R43" i="23"/>
  <c r="I53" i="37" s="1"/>
  <c r="I54" i="37"/>
  <c r="I31" i="37"/>
  <c r="R144" i="23"/>
  <c r="I55" i="37" s="1"/>
  <c r="G31" i="36"/>
  <c r="G30" i="36" s="1"/>
  <c r="F116" i="41"/>
  <c r="H116" i="41" s="1"/>
  <c r="H115" i="41" s="1"/>
  <c r="F40" i="29"/>
  <c r="F41" i="14"/>
  <c r="F58" i="14" s="1"/>
  <c r="F23" i="37" s="1"/>
  <c r="H43" i="7"/>
  <c r="H57" i="7" s="1"/>
  <c r="I43" i="7"/>
  <c r="I57" i="7" s="1"/>
  <c r="I60" i="7" s="1"/>
  <c r="G72" i="41"/>
  <c r="F113" i="41"/>
  <c r="F171" i="41"/>
  <c r="F170" i="41" s="1"/>
  <c r="H170" i="41" s="1"/>
  <c r="F21" i="29"/>
  <c r="F43" i="7"/>
  <c r="F57" i="7" s="1"/>
  <c r="F60" i="7" s="1"/>
  <c r="M19" i="36"/>
  <c r="L19" i="36"/>
  <c r="F29" i="15"/>
  <c r="M46" i="39"/>
  <c r="I40" i="37" s="1"/>
  <c r="E72" i="41"/>
  <c r="I79" i="7"/>
  <c r="E103" i="41"/>
  <c r="E149" i="41"/>
  <c r="M31" i="36"/>
  <c r="M30" i="36" s="1"/>
  <c r="I28" i="37"/>
  <c r="G19" i="36"/>
  <c r="I31" i="36"/>
  <c r="I30" i="36" s="1"/>
  <c r="I43" i="36" s="1"/>
  <c r="H26" i="37" s="1"/>
  <c r="F31" i="36"/>
  <c r="F30" i="36" s="1"/>
  <c r="H97" i="41"/>
  <c r="H96" i="41" s="1"/>
  <c r="F41" i="34" s="1"/>
  <c r="E96" i="41"/>
  <c r="E109" i="41"/>
  <c r="H150" i="41"/>
  <c r="H149" i="41" s="1"/>
  <c r="F56" i="34" s="1"/>
  <c r="H77" i="41"/>
  <c r="H76" i="41" s="1"/>
  <c r="F33" i="34" s="1"/>
  <c r="E76" i="41"/>
  <c r="E18" i="41"/>
  <c r="H43" i="39"/>
  <c r="H38" i="37" s="1"/>
  <c r="F51" i="41"/>
  <c r="H51" i="41" s="1"/>
  <c r="E91" i="41"/>
  <c r="E30" i="41"/>
  <c r="F187" i="41"/>
  <c r="H187" i="41" s="1"/>
  <c r="G124" i="41"/>
  <c r="H103" i="41"/>
  <c r="F42" i="34" s="1"/>
  <c r="E124" i="41"/>
  <c r="H91" i="41"/>
  <c r="F40" i="34" s="1"/>
  <c r="G142" i="41"/>
  <c r="G113" i="41"/>
  <c r="E142" i="41"/>
  <c r="H109" i="41"/>
  <c r="F43" i="34" s="1"/>
  <c r="G54" i="41"/>
  <c r="H35" i="41"/>
  <c r="F20" i="34" s="1"/>
  <c r="G43" i="41"/>
  <c r="F43" i="41"/>
  <c r="E35" i="41"/>
  <c r="J30" i="36"/>
  <c r="J43" i="36" s="1"/>
  <c r="F33" i="15"/>
  <c r="N33" i="15" s="1"/>
  <c r="I33" i="37" s="1"/>
  <c r="H33" i="37"/>
  <c r="H127" i="41"/>
  <c r="H126" i="41" s="1"/>
  <c r="F126" i="41"/>
  <c r="H64" i="41"/>
  <c r="H63" i="41" s="1"/>
  <c r="F28" i="34" s="1"/>
  <c r="F63" i="41"/>
  <c r="K45" i="25"/>
  <c r="G31" i="25" s="1"/>
  <c r="I60" i="37" s="1"/>
  <c r="H46" i="41"/>
  <c r="H45" i="41" s="1"/>
  <c r="F45" i="41"/>
  <c r="F133" i="41"/>
  <c r="H134" i="41"/>
  <c r="H133" i="41" s="1"/>
  <c r="F51" i="34" s="1"/>
  <c r="F17" i="31"/>
  <c r="F18" i="31"/>
  <c r="L30" i="36"/>
  <c r="L43" i="36" s="1"/>
  <c r="I26" i="37" s="1"/>
  <c r="F56" i="41"/>
  <c r="H57" i="41"/>
  <c r="H56" i="41" s="1"/>
  <c r="H19" i="41"/>
  <c r="H18" i="41" s="1"/>
  <c r="F18" i="34" s="1"/>
  <c r="I46" i="39"/>
  <c r="L19" i="39" s="1"/>
  <c r="F167" i="41"/>
  <c r="F163" i="41" s="1"/>
  <c r="F43" i="36" l="1"/>
  <c r="F26" i="37" s="1"/>
  <c r="I37" i="37"/>
  <c r="H60" i="7"/>
  <c r="F85" i="7"/>
  <c r="G43" i="36"/>
  <c r="F19" i="34"/>
  <c r="F21" i="34" s="1"/>
  <c r="F115" i="41"/>
  <c r="F124" i="41" s="1"/>
  <c r="H121" i="41"/>
  <c r="H120" i="41" s="1"/>
  <c r="F47" i="34" s="1"/>
  <c r="H50" i="41"/>
  <c r="F49" i="41"/>
  <c r="F54" i="41" s="1"/>
  <c r="M43" i="36"/>
  <c r="I38" i="37"/>
  <c r="H49" i="41"/>
  <c r="I23" i="37"/>
  <c r="H23" i="37"/>
  <c r="G74" i="41"/>
  <c r="G86" i="41" s="1"/>
  <c r="F72" i="41"/>
  <c r="I85" i="7"/>
  <c r="I25" i="37" s="1"/>
  <c r="I24" i="37"/>
  <c r="E213" i="41"/>
  <c r="N29" i="15"/>
  <c r="F31" i="15"/>
  <c r="E113" i="41"/>
  <c r="E144" i="41" s="1"/>
  <c r="E158" i="41" s="1"/>
  <c r="F24" i="37"/>
  <c r="G144" i="41"/>
  <c r="G158" i="41" s="1"/>
  <c r="E43" i="41"/>
  <c r="E74" i="41" s="1"/>
  <c r="E86" i="41" s="1"/>
  <c r="H113" i="41"/>
  <c r="F20" i="29"/>
  <c r="F44" i="34"/>
  <c r="H163" i="41"/>
  <c r="H162" i="41" s="1"/>
  <c r="F162" i="41"/>
  <c r="H39" i="37"/>
  <c r="H46" i="39"/>
  <c r="H43" i="41"/>
  <c r="F32" i="29"/>
  <c r="F16" i="31"/>
  <c r="F38" i="31" s="1"/>
  <c r="F50" i="34"/>
  <c r="F52" i="34" s="1"/>
  <c r="H142" i="41"/>
  <c r="H72" i="41"/>
  <c r="F27" i="34"/>
  <c r="F29" i="34" s="1"/>
  <c r="F23" i="34"/>
  <c r="F46" i="34"/>
  <c r="F142" i="41"/>
  <c r="H124" i="41" l="1"/>
  <c r="F48" i="34"/>
  <c r="H85" i="7"/>
  <c r="H25" i="37" s="1"/>
  <c r="H24" i="37"/>
  <c r="F24" i="34"/>
  <c r="F25" i="34" s="1"/>
  <c r="F31" i="34" s="1"/>
  <c r="F35" i="34" s="1"/>
  <c r="E229" i="41"/>
  <c r="G146" i="41"/>
  <c r="G29" i="31"/>
  <c r="G30" i="31"/>
  <c r="G31" i="31"/>
  <c r="G28" i="31"/>
  <c r="G25" i="31"/>
  <c r="G26" i="31"/>
  <c r="G27" i="31"/>
  <c r="G24" i="31"/>
  <c r="F74" i="41"/>
  <c r="F86" i="41" s="1"/>
  <c r="H54" i="41"/>
  <c r="I32" i="37"/>
  <c r="N31" i="15"/>
  <c r="F54" i="34"/>
  <c r="F58" i="34" s="1"/>
  <c r="G160" i="41"/>
  <c r="E160" i="41"/>
  <c r="E212" i="41" s="1"/>
  <c r="E214" i="41" s="1"/>
  <c r="F46" i="29"/>
  <c r="E146" i="41"/>
  <c r="F144" i="41"/>
  <c r="F158" i="41" s="1"/>
  <c r="H144" i="41"/>
  <c r="H158" i="41" s="1"/>
  <c r="K19" i="39"/>
  <c r="L46" i="39"/>
  <c r="F62" i="34"/>
  <c r="E217" i="41"/>
  <c r="H74" i="41" l="1"/>
  <c r="H86" i="41" s="1"/>
  <c r="H160" i="41" s="1"/>
  <c r="E216" i="41" s="1"/>
  <c r="E218" i="41" s="1"/>
  <c r="E230" i="41"/>
  <c r="E233" i="41" s="1"/>
  <c r="F160" i="41"/>
  <c r="I62" i="37"/>
  <c r="F60" i="34"/>
  <c r="F64" i="34" s="1"/>
  <c r="F146" i="41"/>
  <c r="G34" i="31"/>
  <c r="G33" i="31"/>
  <c r="G21" i="31"/>
  <c r="G36" i="31"/>
  <c r="G19" i="31"/>
  <c r="G38" i="31"/>
  <c r="G35" i="31"/>
  <c r="G18" i="31"/>
  <c r="G17" i="31"/>
  <c r="G23" i="31"/>
  <c r="I39" i="37"/>
  <c r="K46" i="39"/>
  <c r="G16" i="31"/>
  <c r="H146" i="41" l="1"/>
  <c r="F230" i="41"/>
  <c r="E234" i="41"/>
</calcChain>
</file>

<file path=xl/sharedStrings.xml><?xml version="1.0" encoding="utf-8"?>
<sst xmlns="http://schemas.openxmlformats.org/spreadsheetml/2006/main" count="1987" uniqueCount="1080">
  <si>
    <t>Área de Presidencia, Hacienda y Modernización</t>
  </si>
  <si>
    <t>Dirección Insular de Hacienda</t>
  </si>
  <si>
    <t xml:space="preserve"> PRESUPUESTO GENERAL</t>
  </si>
  <si>
    <t xml:space="preserve"> PROGRAMA DE ACTUACIÓN, INVERSIONES Y FINANCIACIÓN (PAIF)</t>
  </si>
  <si>
    <t xml:space="preserve"> DATOS GENERALES E ÍNDICE</t>
  </si>
  <si>
    <t xml:space="preserve">  Entidad:</t>
  </si>
  <si>
    <t>FUNDACION CANARIA TENERIFE RURAL</t>
  </si>
  <si>
    <t xml:space="preserve"> Clasificación IGAE:</t>
  </si>
  <si>
    <t>Administración Pública</t>
  </si>
  <si>
    <t>Entidad No Financiera</t>
  </si>
  <si>
    <t xml:space="preserve"> Participación ECIT:</t>
  </si>
  <si>
    <t>Mayoritaria / Minoritaria</t>
  </si>
  <si>
    <t>Íntegra</t>
  </si>
  <si>
    <t xml:space="preserve">  Ejercicio:</t>
  </si>
  <si>
    <t>ÍNDICE</t>
  </si>
  <si>
    <t>Datos generales e índice</t>
  </si>
  <si>
    <t>Check list</t>
  </si>
  <si>
    <t>Órganos de Gobierno</t>
  </si>
  <si>
    <t>Accionistas</t>
  </si>
  <si>
    <r>
      <t xml:space="preserve">Cuenta de </t>
    </r>
    <r>
      <rPr>
        <sz val="12"/>
        <color theme="1"/>
        <rFont val="Arial"/>
        <family val="2"/>
      </rPr>
      <t>Resultados</t>
    </r>
  </si>
  <si>
    <r>
      <t xml:space="preserve">Información adicional Cuenta de </t>
    </r>
    <r>
      <rPr>
        <sz val="12"/>
        <color theme="1"/>
        <rFont val="Arial"/>
        <family val="2"/>
      </rPr>
      <t>Resultados</t>
    </r>
  </si>
  <si>
    <t xml:space="preserve">Balance de Situación, Activo </t>
  </si>
  <si>
    <t>Balance de Situación, Pasivo y Patrimonio Neto</t>
  </si>
  <si>
    <t>Inversiones reales</t>
  </si>
  <si>
    <t>Inversiones no financieras</t>
  </si>
  <si>
    <t>Inversiones financieras</t>
  </si>
  <si>
    <t>Transferencias y subvenciones</t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</si>
  <si>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</si>
  <si>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Deuda viva y previsión de vencimientos de deuda</t>
  </si>
  <si>
    <t>Perfíl de vencimientos de deuda a 10 años</t>
  </si>
  <si>
    <t>Personal</t>
  </si>
  <si>
    <t>Operaciones internas</t>
  </si>
  <si>
    <t>Encargos de los poderes adjudicadores</t>
  </si>
  <si>
    <t>Estabilidad presupuestaria</t>
  </si>
  <si>
    <t>Información adicional PROVISIONES A LARGO Y A CORTO PLAZO</t>
  </si>
  <si>
    <t>Fuentes de financiación</t>
  </si>
  <si>
    <t>Presupuesto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</si>
  <si>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</si>
  <si>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</si>
  <si>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Cabildo Insular de Tenerife</t>
  </si>
  <si>
    <t>GENERAL</t>
  </si>
  <si>
    <t>Plaza de España, S/N</t>
  </si>
  <si>
    <t>38003 Santa Cruz de Tenerife</t>
  </si>
  <si>
    <t>Teléfono: 901 501 901</t>
  </si>
  <si>
    <t>www.tenerife.es</t>
  </si>
  <si>
    <t>º</t>
  </si>
  <si>
    <t>IR a:</t>
  </si>
  <si>
    <t xml:space="preserve"> ENTIDAD:</t>
  </si>
  <si>
    <t xml:space="preserve"> Listado de comprobaciones (CHECK LIST)</t>
  </si>
  <si>
    <t>CC.AA.  ( n-2 )</t>
  </si>
  <si>
    <t>PAIF Aprobado (n-1)</t>
  </si>
  <si>
    <t>Estimación cierre ( n-1 )</t>
  </si>
  <si>
    <t>Previsión PAIF ( n )</t>
  </si>
  <si>
    <t>En el formulario FC-1 está cumplimentado el nº de miembros del Cabildo</t>
  </si>
  <si>
    <t>En el formulario FC-1 están cumplimentados los nombres del presidente, secretario y vocal</t>
  </si>
  <si>
    <t>En el formulario FC-1 está cumplimentado el nombre de la gerencia</t>
  </si>
  <si>
    <t>En el formulario FC-1 está cumplimentado el nombre del letrado asesor</t>
  </si>
  <si>
    <t>En el formulario FC-2 está cumplimentada la información de accionistas</t>
  </si>
  <si>
    <t>En el formulario FC-2 el porcentaje de participación de todos los accionsitas = 100,00%</t>
  </si>
  <si>
    <t>En el formulario FC-2 está cumplimentado el nombre del auditor de cuentas</t>
  </si>
  <si>
    <t>La ESFL presenta un resultado &gt;= cero (las pérdidas han sido cubiertas con aport. genérica)</t>
  </si>
  <si>
    <t>Activo = Pasivo y patrimonio neto</t>
  </si>
  <si>
    <r>
      <rPr>
        <sz val="12"/>
        <color theme="1"/>
        <rFont val="Arial"/>
        <family val="2"/>
      </rPr>
      <t>Excedente del</t>
    </r>
    <r>
      <rPr>
        <sz val="12"/>
        <color theme="1"/>
        <rFont val="Arial"/>
        <family val="2"/>
      </rPr>
      <t xml:space="preserve"> Ejercicio PN = Rtdo. PyG</t>
    </r>
  </si>
  <si>
    <t>Variación patrimonio neto en el ejercicio ( I) en FC-3) = Variación patrimonio neto FC-4 Pasivo</t>
  </si>
  <si>
    <r>
      <t>Ventas y otros ingresos de la actividad mercantil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PyG</t>
    </r>
    <r>
      <rPr>
        <sz val="12"/>
        <color theme="1"/>
        <rFont val="Arial"/>
        <family val="2"/>
      </rPr>
      <t>= detalle en FC-3.1</t>
    </r>
  </si>
  <si>
    <r>
      <rPr>
        <sz val="12"/>
        <color theme="1"/>
        <rFont val="Arial"/>
        <family val="2"/>
      </rPr>
      <t>Otros ingresos de la actividad</t>
    </r>
    <r>
      <rPr>
        <sz val="12"/>
        <color theme="1"/>
        <rFont val="Arial"/>
        <family val="2"/>
      </rPr>
      <t xml:space="preserve"> PyG = detalle ingresos accesorios en FC-3.1</t>
    </r>
  </si>
  <si>
    <t>Otros resultados PyG = detalle gastos e ingresos extraordinarios en FC-3.1</t>
  </si>
  <si>
    <t>Inversiones reales: Coste total = ejecución prevista 31-12-(n-1) + programación plurianual (FC-6)</t>
  </si>
  <si>
    <t>Inmovilizado intangible = Detalle de movimientos (FC-7)</t>
  </si>
  <si>
    <t>Inmovilizado material = Detalle de movimientos (FC-7)</t>
  </si>
  <si>
    <t>Inversiones inmobiliarias = Detalle de movimientos (FC-7)</t>
  </si>
  <si>
    <t>Existencias finales = Detalle de movimientos (FC-7)</t>
  </si>
  <si>
    <t>Dotaciones a la amortización PyG = Detalle de movimientos (FC-7)</t>
  </si>
  <si>
    <t>Programación plurianual (año n) en FC-6 = Adquisiciones (año n) en FC-7</t>
  </si>
  <si>
    <t>Inversiones CP+LP (grupo y asociadas) = detalle en FC-8</t>
  </si>
  <si>
    <r>
      <t>Resto Inversiones financieras (otras)</t>
    </r>
    <r>
      <rPr>
        <sz val="12"/>
        <color theme="1"/>
        <rFont val="Arial"/>
        <family val="2"/>
      </rPr>
      <t xml:space="preserve"> CP+LP</t>
    </r>
    <r>
      <rPr>
        <sz val="12"/>
        <color theme="1"/>
        <rFont val="Arial"/>
        <family val="2"/>
      </rPr>
      <t xml:space="preserve"> = detalle en FC-8</t>
    </r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</si>
  <si>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</si>
  <si>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t>Subvenciones capital en balance = dato en FC-9</t>
  </si>
  <si>
    <t>Impuesto por pasivo diferido (subvenciones) en balance = dato en FC-9</t>
  </si>
  <si>
    <t>Imputación de subvenciones capital en PyG (FC-3) = detalle de imputación en FC-9</t>
  </si>
  <si>
    <r>
      <t>Subvenciones explotación en PyG = dato en FC-9 (</t>
    </r>
    <r>
      <rPr>
        <u/>
        <sz val="12"/>
        <color theme="1"/>
        <rFont val="Arial"/>
        <family val="2"/>
      </rPr>
      <t>Incluye aportaciones socios ESFL</t>
    </r>
    <r>
      <rPr>
        <sz val="12"/>
        <color theme="1"/>
        <rFont val="Arial"/>
        <family val="2"/>
      </rPr>
      <t>)</t>
    </r>
  </si>
  <si>
    <t>Subvenciones explotación del Cabildo en PyG (en FC-3_1) = dato en FC-9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</si>
  <si>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</si>
  <si>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</si>
  <si>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Deudas transformables en subvenciones a largo plazo en FC-4-PASIVO = desglose en FC-10</t>
  </si>
  <si>
    <t>Deudas transformables en subvenciones a corto plazo en FC-4-PASIVO = desglose en FC-10</t>
  </si>
  <si>
    <t>En FC-10, se ha cumplimentado la columna C, que identifica si la aportación es de capital o corriente</t>
  </si>
  <si>
    <t>Otras deudas a largo plazo (resto) en FC-4-PASIVO = desglose en FC-10</t>
  </si>
  <si>
    <t>Otras deudas a corto plazo (resto)en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</si>
  <si>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</si>
  <si>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</si>
  <si>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</si>
  <si>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r>
      <t xml:space="preserve">Otras deudas: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</si>
  <si>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r>
      <t xml:space="preserve">Deudas entidades grupo: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</si>
  <si>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t>Provisiones a largo plazo en Balance = dato en FC-16_1</t>
  </si>
  <si>
    <t>Provisiones a corto plazo en Balance = dato en FC-16_1</t>
  </si>
  <si>
    <t>Subvenciones de capital en FC-9 = dato en FC-17</t>
  </si>
  <si>
    <t>Subvenciones de explotación en FC-9 = dato en FC-17</t>
  </si>
  <si>
    <t>Gastos de personal en PyG = desglose en FC-13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</si>
  <si>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</si>
  <si>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</si>
  <si>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OBSERVACIONES Y NOTAS DE LA ENTIDAD</t>
  </si>
  <si>
    <t>ÓRGANOS DE GOBIERNO DE LA ENTIDAD</t>
  </si>
  <si>
    <t>Número total</t>
  </si>
  <si>
    <t>Designados por el sector público</t>
  </si>
  <si>
    <t>a) Por el Cabildo Insular de Tenerife o sus Entes Dependientes</t>
  </si>
  <si>
    <t>b) Por otras Administraciones Públicas</t>
  </si>
  <si>
    <t>Designados por el sector privado</t>
  </si>
  <si>
    <t>Cargo</t>
  </si>
  <si>
    <t>Nombre</t>
  </si>
  <si>
    <t>Fecha nombramiento:</t>
  </si>
  <si>
    <t>Presidencia</t>
  </si>
  <si>
    <t>D. Francisco Javier Parrilla Gómez</t>
  </si>
  <si>
    <t>Vicepresidencia</t>
  </si>
  <si>
    <t>D. José Manuel Garrido García</t>
  </si>
  <si>
    <t>Secretaría</t>
  </si>
  <si>
    <t>D. Jorge de Miguel García</t>
  </si>
  <si>
    <t>Vicesecretaría</t>
  </si>
  <si>
    <t>Vocal 1</t>
  </si>
  <si>
    <t>Tesorero D. Ignacio Sabaté Bel</t>
  </si>
  <si>
    <t>Vocal 2</t>
  </si>
  <si>
    <t>D. Amid Achi Fadul</t>
  </si>
  <si>
    <t>Vocal 3</t>
  </si>
  <si>
    <t>D. Domingo Ríos Mesa</t>
  </si>
  <si>
    <t>Vocal 4</t>
  </si>
  <si>
    <t>Dª Ruth Acosta Trujillo</t>
  </si>
  <si>
    <t>Vocal 5</t>
  </si>
  <si>
    <t>D. Jorge Francisco Ortega</t>
  </si>
  <si>
    <t>Vocal 6</t>
  </si>
  <si>
    <t>D. Alejandro Gavela Carneiro</t>
  </si>
  <si>
    <t>Vocal 7</t>
  </si>
  <si>
    <t>Dª. Olga María Sánchez Fernández</t>
  </si>
  <si>
    <t>Vocal 8</t>
  </si>
  <si>
    <t>Vocal 9</t>
  </si>
  <si>
    <t>Vocal 10</t>
  </si>
  <si>
    <t>Vocal 11</t>
  </si>
  <si>
    <t>Vocal 12</t>
  </si>
  <si>
    <t>Gerencia</t>
  </si>
  <si>
    <t>Letrado Asesor</t>
  </si>
  <si>
    <t>No aplica</t>
  </si>
  <si>
    <t>E_ID</t>
  </si>
  <si>
    <t>FC-1</t>
  </si>
  <si>
    <t>ACCIONISTAS, PARTICIPACIONES EN OTRAS ENTIDADES Y AUDITORES DE CUENTAS</t>
  </si>
  <si>
    <t xml:space="preserve">a) ACCIONISTAS </t>
  </si>
  <si>
    <t xml:space="preserve">Datos a 31 de diciembre de </t>
  </si>
  <si>
    <t>Variaciones producidas o previsibles en</t>
  </si>
  <si>
    <t>Razón Social</t>
  </si>
  <si>
    <t>NIF</t>
  </si>
  <si>
    <t>% Participación</t>
  </si>
  <si>
    <t>Nº Acciones / Participaciones</t>
  </si>
  <si>
    <t>Clase</t>
  </si>
  <si>
    <t>Valor Nominal (1)</t>
  </si>
  <si>
    <t>Valor Teórico (2)</t>
  </si>
  <si>
    <t>Incremento en la participación (Euros)</t>
  </si>
  <si>
    <t>Incremento en el nº de acciones</t>
  </si>
  <si>
    <t>Reducciones en la participación (Euros)</t>
  </si>
  <si>
    <t>Reducciones en el nº de acciones</t>
  </si>
  <si>
    <t>Observaciones</t>
  </si>
  <si>
    <t>EXCMO. CABILDO INSULAR DE TENERIFE</t>
  </si>
  <si>
    <t>P3800001D</t>
  </si>
  <si>
    <t>CAJA RURAL DE TENERIFE SDAD COOP DE CRÉDITO</t>
  </si>
  <si>
    <t>F38005245</t>
  </si>
  <si>
    <t>DEPÓSITOS ALMACENES NÚMERO UNO S.L.</t>
  </si>
  <si>
    <t>A38023925</t>
  </si>
  <si>
    <t>JOSE SÁNCHEZ PEÑATE S.A.</t>
  </si>
  <si>
    <t>A35020726</t>
  </si>
  <si>
    <t>TELEFÉRICO PICO DEL TEIDE S.A.</t>
  </si>
  <si>
    <t>A38002549</t>
  </si>
  <si>
    <t>COMPAÑÍA CERVECERA DE CANARIAS S.L.</t>
  </si>
  <si>
    <t>A38000709</t>
  </si>
  <si>
    <t>CAJA GENERAL DE AHORROS DE CANARIAS</t>
  </si>
  <si>
    <t>G38001749</t>
  </si>
  <si>
    <t>b) PARTICIPACIONES EN OTRAS ENTIDADES</t>
  </si>
  <si>
    <t>Desembolsos pendientes</t>
  </si>
  <si>
    <t>Incremento en la participación</t>
  </si>
  <si>
    <t>Reducciones en la participación</t>
  </si>
  <si>
    <t>c) AUDITORES DE CUENTAS</t>
  </si>
  <si>
    <t>Nombre ó Razón Social</t>
  </si>
  <si>
    <t>Intervención General del Excmo. Cabildo Insular de Tenerife</t>
  </si>
  <si>
    <t>NOTAS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</si>
  <si>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</si>
  <si>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</si>
  <si>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FC-2</t>
  </si>
  <si>
    <t>CUENTA DE RESULTADOS</t>
  </si>
  <si>
    <t>CC.AA.</t>
  </si>
  <si>
    <t>PAIF Aprobado</t>
  </si>
  <si>
    <t>Estimación cierre</t>
  </si>
  <si>
    <t>Previsión PAIF</t>
  </si>
  <si>
    <t>A)</t>
  </si>
  <si>
    <t>EXCEDENTE DEL EJERCICIO</t>
  </si>
  <si>
    <t>1.</t>
  </si>
  <si>
    <t>Ingresos de la actividad propia</t>
  </si>
  <si>
    <t>a)</t>
  </si>
  <si>
    <t xml:space="preserve">Cuotas de asociados y afiliados </t>
  </si>
  <si>
    <t>b)</t>
  </si>
  <si>
    <t>Aportaciones de usuarios</t>
  </si>
  <si>
    <t>c)</t>
  </si>
  <si>
    <t>Ingresos de promociones, patrocinadores y colaboraciones</t>
  </si>
  <si>
    <t>d)</t>
  </si>
  <si>
    <r>
      <t>Subvenciones, donaciones y legados imputados al excedente del ejercicio</t>
    </r>
    <r>
      <rPr>
        <sz val="12"/>
        <color theme="1"/>
        <rFont val="Arial"/>
        <family val="2"/>
      </rPr>
      <t xml:space="preserve"> (Detalle en FC-3.1)</t>
    </r>
  </si>
  <si>
    <t>e)</t>
  </si>
  <si>
    <t>Reintegro de ayudas y asignaciones</t>
  </si>
  <si>
    <t>2.</t>
  </si>
  <si>
    <t>Ventas y otros ingresos de la actividad mercantil (Detalle en FC-3.1)</t>
  </si>
  <si>
    <t>3.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</si>
  <si>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</si>
  <si>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</si>
  <si>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</si>
  <si>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</si>
  <si>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</si>
  <si>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>4.</t>
  </si>
  <si>
    <t>Variación de existencias de productos terminados y en curso de fabricación</t>
  </si>
  <si>
    <t>5.</t>
  </si>
  <si>
    <t xml:space="preserve">Trabajos realizados por la entidad para su actividad </t>
  </si>
  <si>
    <t>6.</t>
  </si>
  <si>
    <t>Aprovisionamientos</t>
  </si>
  <si>
    <t>7.</t>
  </si>
  <si>
    <t>Otros ingresos de la actividad (Detalle en FC-3.1)</t>
  </si>
  <si>
    <t>8.</t>
  </si>
  <si>
    <t>Gastos de personal</t>
  </si>
  <si>
    <t>9.</t>
  </si>
  <si>
    <t>Otros gastos de la actividad</t>
  </si>
  <si>
    <t>Servicios exteriores</t>
  </si>
  <si>
    <t>Tributos</t>
  </si>
  <si>
    <t>Pérdidas, deterioro y variación de provisiones por operaciones comerciales</t>
  </si>
  <si>
    <t>Otros gastos de gestión corriente</t>
  </si>
  <si>
    <t>10.</t>
  </si>
  <si>
    <t>Amortización del inmovilizado</t>
  </si>
  <si>
    <t>11.</t>
  </si>
  <si>
    <t>Subvención, donaciones y legados de capital traspasados al excedente del ejercicio</t>
  </si>
  <si>
    <t>12.</t>
  </si>
  <si>
    <t>Exceso de provisiones</t>
  </si>
  <si>
    <t>13.</t>
  </si>
  <si>
    <t>Deterioro y resultado por enajenaciones del inmovilizado</t>
  </si>
  <si>
    <t>14.</t>
  </si>
  <si>
    <t>Otros resultados</t>
  </si>
  <si>
    <t>A.1)</t>
  </si>
  <si>
    <t>EXCEDENTE DE LA ACTIVIDAD (1+2+3+4+5+6+7+8+9+10+11+12+13+14)</t>
  </si>
  <si>
    <t>15.</t>
  </si>
  <si>
    <t>Ingresos financieros</t>
  </si>
  <si>
    <t>De participaciones en instrumentos de patrimonio</t>
  </si>
  <si>
    <t>De valores negociables y otros instrumentos financieros</t>
  </si>
  <si>
    <t>16.</t>
  </si>
  <si>
    <t>Gastos financieros</t>
  </si>
  <si>
    <t>Por deudas con empresas del grupo y asociadas</t>
  </si>
  <si>
    <t>Por deudas con terceros</t>
  </si>
  <si>
    <t>Por actualización de provisiones</t>
  </si>
  <si>
    <t>17.</t>
  </si>
  <si>
    <t>Variación de valor razonable en instrumentos financieros</t>
  </si>
  <si>
    <t>18.</t>
  </si>
  <si>
    <t>Diferencias de cambio</t>
  </si>
  <si>
    <t>19.</t>
  </si>
  <si>
    <t>Deterioro y resultado por enajenaciones de instrumentos financieros</t>
  </si>
  <si>
    <t>A.2)</t>
  </si>
  <si>
    <t>EXCEDENTE DE LAS OPERACIONES FINANCIERAS (15+16+17+18+19)</t>
  </si>
  <si>
    <t>A.3)</t>
  </si>
  <si>
    <t>EXCEDENTE ANTES DE IMPUESTOS  (A1+A2)</t>
  </si>
  <si>
    <t>20.</t>
  </si>
  <si>
    <t>Impuesto sobre beneficios</t>
  </si>
  <si>
    <t>A.4)</t>
  </si>
  <si>
    <t>VARIACIÓN PATRIMONIO NETO RECONOCIDA EN EL EXCEDENTE DEL EJERCICIO (A3+20)</t>
  </si>
  <si>
    <t>B)</t>
  </si>
  <si>
    <t>INGRESOS Y GASTOS IMPUTADOS DIRECTAMENTE AL PATRIMONIO NETO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</si>
  <si>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</si>
  <si>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</si>
  <si>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</si>
  <si>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</si>
  <si>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</si>
  <si>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</si>
  <si>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B.1)</t>
  </si>
  <si>
    <t>VARIACIÓN PATRIMONIO NETO POR INGRESOS Y GASTOS RECONOCIDOS DIRECTAMENTE EN EL PATRIMONIO NETO (1+2+3+4+5+6)</t>
  </si>
  <si>
    <t>C)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</si>
  <si>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</si>
  <si>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</si>
  <si>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</si>
  <si>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</si>
  <si>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</si>
  <si>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</si>
  <si>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</si>
  <si>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</si>
  <si>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</si>
  <si>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</si>
  <si>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</si>
  <si>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</si>
  <si>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</si>
  <si>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</si>
  <si>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</si>
  <si>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FC-3</t>
  </si>
  <si>
    <t>INFORMACIÓN ADICIONAL RELATIVA A LA CUENTA DE RESULTADOS</t>
  </si>
  <si>
    <t>Real</t>
  </si>
  <si>
    <t>Estimación</t>
  </si>
  <si>
    <t>Previsión</t>
  </si>
  <si>
    <t>I. VENTAS Y PRESTACIONES DE SERVICIOS (1)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</si>
  <si>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</si>
  <si>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</si>
  <si>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</si>
  <si>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</si>
  <si>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</si>
  <si>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</si>
  <si>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B.1.- Ventas: (detallar)</t>
  </si>
  <si>
    <t>EMPRESA INSULAR DE ARTESANIA</t>
  </si>
  <si>
    <t>SPET TURISMO DE TENERIFE</t>
  </si>
  <si>
    <t>SINPROMI</t>
  </si>
  <si>
    <t>B.2.- Prestaciones de servicios: (detallar)</t>
  </si>
  <si>
    <t>TRANSPORTES INTERURBANOS DE TENERIFE</t>
  </si>
  <si>
    <t>C.- Resto de Ventas y Prestaciones de servicios:</t>
  </si>
  <si>
    <t>C.1.- A otras AA PP</t>
  </si>
  <si>
    <t>C.1.1.- Ventas: (detallar)</t>
  </si>
  <si>
    <t>GOBIERNO DE CANARIAS</t>
  </si>
  <si>
    <t>C.1.2.- Prestaciones de servicios: (detallar)</t>
  </si>
  <si>
    <t>INSTITUTO CANARIO DE CALIDAD AGROALIMENTARIA</t>
  </si>
  <si>
    <t>AYUNTAMIENTO DE LA MATANZA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</si>
  <si>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</si>
  <si>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</si>
  <si>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</si>
  <si>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</si>
  <si>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</si>
  <si>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</si>
  <si>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t>Ingresos excepcionales CON efecto monetario o derecho de cobro</t>
  </si>
  <si>
    <t>Indemnización seguro (daños temporal)</t>
  </si>
  <si>
    <t>Ingresos excepcionales SIN efecto monetario o derecho de cobro</t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</si>
  <si>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</si>
  <si>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Gastos excepcionales CON efecto monetario o pasivo financiero</t>
  </si>
  <si>
    <t>Reparaciones daños temporal</t>
  </si>
  <si>
    <t>Devolución bonificación formación SEPE</t>
  </si>
  <si>
    <t>Gastos excepcionales SIN efecto monetario o pasivo financiero</t>
  </si>
  <si>
    <t>IMPUESTO SOBRE SOCIEDADES</t>
  </si>
  <si>
    <t>Retenciones y pagos a cuenta del ejercicio</t>
  </si>
  <si>
    <t>Cuota líquida a ingresar (+) o a devolver (-) del ejercicio anterior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</si>
  <si>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</si>
  <si>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</si>
  <si>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</si>
  <si>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</si>
  <si>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</si>
  <si>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>b) Subvenc. explotación incorporadas al resultado del ejercicio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</si>
  <si>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</si>
  <si>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</si>
  <si>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</si>
  <si>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</si>
  <si>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</si>
  <si>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 xml:space="preserve">   b.6. Imputación de subvenciones de explotac. de ejercicios anteriores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</si>
  <si>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</si>
  <si>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Cuenta</t>
  </si>
  <si>
    <t>Contable GASTO</t>
  </si>
  <si>
    <t>a) Total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</si>
  <si>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</si>
  <si>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</si>
  <si>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</si>
  <si>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(1) Ventas y Prestaciones de Servicios. Detallar la cifra del Importe Neto de la Cifra de Negocios de la Cuenta de Pérdidas y Ganancias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</si>
  <si>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</si>
  <si>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</si>
  <si>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FC-3.1</t>
  </si>
  <si>
    <t>BALANCE DE SITUACIÓN - ACTIVO</t>
  </si>
  <si>
    <t>ACTIVO</t>
  </si>
  <si>
    <t xml:space="preserve">A) </t>
  </si>
  <si>
    <t>ACTIVO NO CORRIENTE</t>
  </si>
  <si>
    <t>I.</t>
  </si>
  <si>
    <t>Inmovilizado intangible</t>
  </si>
  <si>
    <t>II.</t>
  </si>
  <si>
    <t>Bienes del Patrimonio Histórico</t>
  </si>
  <si>
    <t>III.</t>
  </si>
  <si>
    <t>Inmovilizado material</t>
  </si>
  <si>
    <t>IV.</t>
  </si>
  <si>
    <t>Inversiones inmobiliarias</t>
  </si>
  <si>
    <t>V.</t>
  </si>
  <si>
    <t>Inversiones en entidades del grupo y asociadas a largo plazo</t>
  </si>
  <si>
    <t>VI.</t>
  </si>
  <si>
    <t>Inversiones financieras a largo plazo</t>
  </si>
  <si>
    <t>VII.</t>
  </si>
  <si>
    <t>Activos por impuesto diferido</t>
  </si>
  <si>
    <t>ACTIVO CORRIENTE</t>
  </si>
  <si>
    <t>Existencias</t>
  </si>
  <si>
    <t>Usuarios y otros deudores de la actividad propia</t>
  </si>
  <si>
    <t>Deudores comerciales y otras cuentas a cobrar</t>
  </si>
  <si>
    <t>Excmo. Cabildo Insular de Tenerife, deudor por subvenciones concedidas</t>
  </si>
  <si>
    <t>Resto de otros deudores comerciales y otras cuentas a cobrar</t>
  </si>
  <si>
    <t>Inversiones en entidades del grupo y asociadas a  corto plazo</t>
  </si>
  <si>
    <t>Inversiones financieras a corto plazo</t>
  </si>
  <si>
    <t>Periodificaciones a corto plazo</t>
  </si>
  <si>
    <t>Efectivo y otros activos líquidos equivalentes</t>
  </si>
  <si>
    <t xml:space="preserve">      TOTAL ACTIVO (A+B)</t>
  </si>
  <si>
    <t>FC-4 - ACTIVO</t>
  </si>
  <si>
    <t>BALANCE DE SITUACIÓN - PATRIMONIO NETO Y PASIVO</t>
  </si>
  <si>
    <t xml:space="preserve">    PATRIMONIO NETO Y PASIVO</t>
  </si>
  <si>
    <t>PATRIMONIO NETO</t>
  </si>
  <si>
    <t>A1)</t>
  </si>
  <si>
    <t>Fondos propios</t>
  </si>
  <si>
    <t>Dotación fundacional / Fondo social</t>
  </si>
  <si>
    <t>Dotación fundacional no exigida / Fondo social no exigido</t>
  </si>
  <si>
    <t>Reservas</t>
  </si>
  <si>
    <t>Excedentes de ejercicios anteriores</t>
  </si>
  <si>
    <t>Excedente del ejercicio</t>
  </si>
  <si>
    <t>A2)</t>
  </si>
  <si>
    <t>Ajustes por cambios de valor</t>
  </si>
  <si>
    <t>A3)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</si>
  <si>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</si>
  <si>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</si>
  <si>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</si>
  <si>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</si>
  <si>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</si>
  <si>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</si>
  <si>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</si>
  <si>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Otros deudas a largo plazo</t>
  </si>
  <si>
    <t>Otras deudas a largo plazo por deudas transformables en subvenciones a largo plazo (cta. 172)</t>
  </si>
  <si>
    <t>Otras deudas a largo plazo (resto)</t>
  </si>
  <si>
    <t>Deudas con entidades del grupo y asociadas a largo plazo</t>
  </si>
  <si>
    <t>Pasivos por impuesto diferido</t>
  </si>
  <si>
    <t>Pasivo por impuesto diferido por el efecto impositivo de las subvenciones de capital</t>
  </si>
  <si>
    <t>Pasivo por impuesto diferido, otros</t>
  </si>
  <si>
    <t>Periodificaciones a largo plazo</t>
  </si>
  <si>
    <t>PASIVO CORRIENTE</t>
  </si>
  <si>
    <t>Provisiones a corto plazo</t>
  </si>
  <si>
    <t>Deudas a corto plazo</t>
  </si>
  <si>
    <t>Otros deudas a corto plazo</t>
  </si>
  <si>
    <t>Otras deudas a corto plazo por deudas transformables en subvenciones a largo plazo (cta. 522)</t>
  </si>
  <si>
    <t>Otras deudas a corto plazo (resto)</t>
  </si>
  <si>
    <t>Deudas con entidades del grupo y asociadas a corto plazo</t>
  </si>
  <si>
    <t>Beneficiarios - Acreedores</t>
  </si>
  <si>
    <t>Acreedores comerciales y otras cuentas a pagar</t>
  </si>
  <si>
    <t>Proveedores</t>
  </si>
  <si>
    <t>Otros acreedores</t>
  </si>
  <si>
    <t>Excmo. Cabildo Insular de Tenerife, acreedor por subvenciones a reintegrar</t>
  </si>
  <si>
    <t>Resto de otras acreedores</t>
  </si>
  <si>
    <t>TOTAL PATRIMONIO NETO Y PASIVO (A+B+C)</t>
  </si>
  <si>
    <t>FC-4 - PASIVO Y PATRIMONIO NETO</t>
  </si>
  <si>
    <t>INVERSIONES REALES (1)</t>
  </si>
  <si>
    <t>Ejecución prevista</t>
  </si>
  <si>
    <t>Programación Plurianual (3)</t>
  </si>
  <si>
    <t>Previsión de importe comprometidos a 31-12-</t>
  </si>
  <si>
    <t>(4)</t>
  </si>
  <si>
    <t>hasta 31 diciembre</t>
  </si>
  <si>
    <t>Código</t>
  </si>
  <si>
    <t>Denominación</t>
  </si>
  <si>
    <t>Año inicial</t>
  </si>
  <si>
    <t>Año fin</t>
  </si>
  <si>
    <t>Coste total (2)</t>
  </si>
  <si>
    <t>Resto</t>
  </si>
  <si>
    <t>SILLA GIRATORIA PHOENIX</t>
  </si>
  <si>
    <t>IPHONE 12 256GB GRAFITO</t>
  </si>
  <si>
    <t>DIEZ BARRICAS DECORACION</t>
  </si>
  <si>
    <t>CONGELADOR INFINITON BLANCO</t>
  </si>
  <si>
    <t>CINCO BARRICAS DECORACION</t>
  </si>
  <si>
    <t>15 TABURETES METAL PLATA</t>
  </si>
  <si>
    <t>TRES BARRICAS DECORACION</t>
  </si>
  <si>
    <t>SILLAS MADERA PINO</t>
  </si>
  <si>
    <t>TRES MONITORES ASUS</t>
  </si>
  <si>
    <t>EQUIPOS INFORMATICOS</t>
  </si>
  <si>
    <t>TOTALES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</si>
  <si>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</si>
  <si>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</si>
  <si>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</si>
  <si>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</si>
  <si>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</si>
  <si>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</si>
  <si>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</si>
  <si>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</si>
  <si>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, desglosandolos por los ejercicios en los que se prevé realizar la inversión.</t>
  </si>
  <si>
    <t>FC-6</t>
  </si>
  <si>
    <t>INVERSIONES NO FINANCIERAS. Variaciones del inmovilizado y existencias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</si>
  <si>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</si>
  <si>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t>Variaciones</t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</si>
  <si>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</si>
  <si>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(11)</t>
  </si>
  <si>
    <t xml:space="preserve"> I. Estimación</t>
  </si>
  <si>
    <t>(+)Adquisiciones      (2)</t>
  </si>
  <si>
    <t>(+/-)Provisión por desmantelamiento (3)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</si>
  <si>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</si>
  <si>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</si>
  <si>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</si>
  <si>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</si>
  <si>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>(+/-) Otras variaciones (especificar en observaciones) (8)</t>
  </si>
  <si>
    <t>Precio de venta de las enajenaciones (10)</t>
  </si>
  <si>
    <t xml:space="preserve">  Inmovilizado Intangible</t>
  </si>
  <si>
    <t xml:space="preserve">  Inmovilizado material (terrenos)</t>
  </si>
  <si>
    <t xml:space="preserve">  Inmovilizado material (excepto terrenos)</t>
  </si>
  <si>
    <t>BAJA INMOVILIZADO OBSOLETO</t>
  </si>
  <si>
    <t xml:space="preserve">  Inversiones inmobiliarias (terrenos)</t>
  </si>
  <si>
    <t xml:space="preserve">  Inversiones inmobiliarias (excepto terrenos)</t>
  </si>
  <si>
    <t>TOTAL</t>
  </si>
  <si>
    <t xml:space="preserve">  Existencias</t>
  </si>
  <si>
    <t>II. Previsión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</si>
  <si>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</si>
  <si>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</si>
  <si>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</si>
  <si>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</si>
  <si>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(5)  AMORTIZACIÓN DEL EJERCICIO: se reflejará, con signo negativo, el importe de la amortización dotada en el ejercicio. En su caso, con signo positivo, las correcciones a la amortización acumulada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</si>
  <si>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</si>
  <si>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</si>
  <si>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</si>
  <si>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</si>
  <si>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PRECIO DE VENTA DE LAS ENAJENACIONES: Precio obtenido de la venta de los elementos de inmovilizado dados de baja en el ejercicio.</t>
  </si>
  <si>
    <t>(11)  OBSERVACIONES: se recogera cualquier otra información que se considere relevante relativa a cada operación.</t>
  </si>
  <si>
    <t>FC-7</t>
  </si>
  <si>
    <t>INVERSIONES FINANCIERAS. Variación de las inversiones financieras e instrumentos de patrimonio.</t>
  </si>
  <si>
    <t>I. INVERSIONES EN EMPRESAS DEL GRUPO Y ASOCIADAS (1)</t>
  </si>
  <si>
    <t>Saldo inicial</t>
  </si>
  <si>
    <t>Porcentaje</t>
  </si>
  <si>
    <t>Dividendo</t>
  </si>
  <si>
    <t>OBSERVACIONES (3)</t>
  </si>
  <si>
    <t>Entidad beneficiaria</t>
  </si>
  <si>
    <t>de balance</t>
  </si>
  <si>
    <t>Adquisiciones (3)</t>
  </si>
  <si>
    <t>Enajenaciones o reembolsos de préstamos concedidos</t>
  </si>
  <si>
    <t>Pérdidas de valor y otros</t>
  </si>
  <si>
    <t>Participación (2)</t>
  </si>
  <si>
    <t>INVERSIONES EN INSTRUMENTOS DE PATRIMONIO (4)</t>
  </si>
  <si>
    <t>RESTO DE INVERSIONES (5)</t>
  </si>
  <si>
    <t>II. INVERSIONES EN OTRAS EMPRESAS (6)</t>
  </si>
  <si>
    <t>OBSERVACIONES (8)</t>
  </si>
  <si>
    <t>Participación (7)</t>
  </si>
  <si>
    <t>INVERSIONES EN INSTRUMENTOS DE PATRIMONIO (9)</t>
  </si>
  <si>
    <t>RESTO DE INVERSIONES (10)</t>
  </si>
  <si>
    <t>FIANZA PROCURADORA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</si>
  <si>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</si>
  <si>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</si>
  <si>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</si>
  <si>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</si>
  <si>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</si>
  <si>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</si>
  <si>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(7) % PARTICIPACION: porcentaje total de participación que, al final del ejercicio, la entidad posee en la sociedad.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</si>
  <si>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</si>
  <si>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</si>
  <si>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</si>
  <si>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FC-8</t>
  </si>
  <si>
    <t>NOTA IMPORTANTE</t>
  </si>
  <si>
    <t>SUBVENCIONES Y TRANSFERENCIAS (1)</t>
  </si>
  <si>
    <t>Las aportaciones específicas, sean de capital o corrientes (explotación) deben denominarse con el nombre dado por el Excmo. Cabildo Insular de Tenerife u otra entidad.</t>
  </si>
  <si>
    <t>Así mismo, las aportaciones específicas deben individualizarse según han sido concedidas, no pudiendo agruparse ni desglosarse.</t>
  </si>
  <si>
    <t>I. SUBVENCIONES Y TRANSFERENCIAS.</t>
  </si>
  <si>
    <t>I.1. SUBVENCIONES DE CAPITAL</t>
  </si>
  <si>
    <t>Ente</t>
  </si>
  <si>
    <t>DATOS SEGÚN CRITERIOS DE CONTABILIDAD DE LA ENTIDAD (2)</t>
  </si>
  <si>
    <t>DATOS SEGÚN CRITERIOS ECIT</t>
  </si>
  <si>
    <t>Observaciones sobre diferencias entre aportaciones s/criterio de entidad y s/criterio del ECIT/AAPP</t>
  </si>
  <si>
    <t>Descripción</t>
  </si>
  <si>
    <t>( Si es "Otros" especificar a la derecha el Ente emisor)</t>
  </si>
  <si>
    <t>Importe total concedido</t>
  </si>
  <si>
    <t>y OTRAS ADM. PÚBLICAS (3)</t>
  </si>
  <si>
    <t>Ejercicio</t>
  </si>
  <si>
    <t>Subvención</t>
  </si>
  <si>
    <t>Ctas. 130-131-132</t>
  </si>
  <si>
    <t>Cuenta 479</t>
  </si>
  <si>
    <t>ÁREA</t>
  </si>
  <si>
    <t>PROG.</t>
  </si>
  <si>
    <t>ECON.</t>
  </si>
  <si>
    <t>Otorgamiento</t>
  </si>
  <si>
    <t xml:space="preserve">TOTAL CONCEDIDAS </t>
  </si>
  <si>
    <t>Menos imputación de subvenciones al resultado del ejercicio</t>
  </si>
  <si>
    <t>SALDO FINAL DE SUBVENCIONES, DONACIONES Y LEGADOS</t>
  </si>
  <si>
    <t>Subv. de capital concedidas por el Cabildo</t>
  </si>
  <si>
    <t>Subv. de capital concedidas por Unidades dependientes del Cabildo</t>
  </si>
  <si>
    <t>Subv. de capital concedidas por la Unión Europea</t>
  </si>
  <si>
    <t>Subv. de capital concedidas por otras Administraciones y Entes públicos</t>
  </si>
  <si>
    <t>I.2. SUBVENCIONES DE EXPLOTACIÓN.</t>
  </si>
  <si>
    <t>DATOS SEGÚN CRITERIOS CONTABILIDAD ENTIDAD (4)</t>
  </si>
  <si>
    <t>DATOS SEGÚN CRITERIOS ECIT y OTRAS ADM. PÚBLICAS (5)</t>
  </si>
  <si>
    <t>Plan de Marketing 2019-2022</t>
  </si>
  <si>
    <t>2019 (2021)</t>
  </si>
  <si>
    <t>ver excel adjuto en documentos</t>
  </si>
  <si>
    <t>2019 (2020)</t>
  </si>
  <si>
    <t>A4 Tfe Rural Jornada y Actos S.Andrés (2021)</t>
  </si>
  <si>
    <t>A4 Tfe Rural Jornada y Actos S.Andrés (2022)</t>
  </si>
  <si>
    <t>Acciones de Desarrollo Rural (2020)</t>
  </si>
  <si>
    <t>ver en excel adjuto en documentos</t>
  </si>
  <si>
    <t>Acciones de Desarrollo Rural (2021)</t>
  </si>
  <si>
    <t>Promoción y Desarrollo Rural</t>
  </si>
  <si>
    <t>Subv. de explotación concedidas por el Cabildo</t>
  </si>
  <si>
    <t>Subv. de explotación concedidas por Unidades dependientes del Cabildo</t>
  </si>
  <si>
    <t>Subv. de explotación concedidas por la Unión Europea</t>
  </si>
  <si>
    <t>Subv. de explotación concedidas por otras Administraciones y Entes públicos</t>
  </si>
  <si>
    <t>II. APORTACIONES DE SOCIOS.</t>
  </si>
  <si>
    <t>DATOS SEGÚN CRITERIOS CONTABILIDAD ENTIDAD (6)</t>
  </si>
  <si>
    <t>DATOS SEGÚN CRITERIOS ECIT y OTRAS ADM. PÚBLICAS (7)</t>
  </si>
  <si>
    <t>Aportación genérica</t>
  </si>
  <si>
    <t>Aportaciones genéricas concedidas por el Cabildo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</si>
  <si>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</si>
  <si>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Ejercicio otorgamiento</t>
  </si>
  <si>
    <t>TOTAL EMISIÓN</t>
  </si>
  <si>
    <t>NOTAS ACLARATORIAS DE LA ENTIDAD</t>
  </si>
  <si>
    <t>NOTA:</t>
  </si>
  <si>
    <t>(1) Se incluiran en este cuadro todas las aportaciones y subvenciones recibidos del Excmo. Cabildo Insular de Tenerife y de cualquier otras administración pública ó ente privado. Debe detallarse cada subvención o aportación de forma nominativa y según ha sido denominada por la Entidad otorgante.</t>
  </si>
  <si>
    <t xml:space="preserve">      Las aportaciones específicas, de capital o corrientes, deben expresarse de forma individalizada, sin agrupar varias aportaciones, ni desagregar una aportación individual única en varias.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</si>
  <si>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</si>
  <si>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</si>
  <si>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</si>
  <si>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</si>
  <si>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</si>
  <si>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</si>
  <si>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</si>
  <si>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t xml:space="preserve">      de la subvención.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</si>
  <si>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</si>
  <si>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</si>
  <si>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 xml:space="preserve">       pública que otorgara la subvención y la entidad/sociedad son coincidentes, deben indicarse idénticas cifras en ambos cuadros.</t>
  </si>
  <si>
    <t>(6) Se indicarán los importes de las aportaciones de socios estimadas y previsibles que se registran en la cuenta contable 118 y que se recogen en el epígrafe A1) VI. del patrimonio neto del balance.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</si>
  <si>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</si>
  <si>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 xml:space="preserve">       indicarse idénticas cifras en ambos cuadros.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</si>
  <si>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</si>
  <si>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t xml:space="preserve">      importe total de la ampliación de capital + prima de emisión.</t>
  </si>
  <si>
    <t>FC-9</t>
  </si>
  <si>
    <t>Para el desplegable de "SUBVENCIONES DE CAPITAL y EXPLOTACIÓN".</t>
  </si>
  <si>
    <t>Otros - Unidad dependiente del Cabildo</t>
  </si>
  <si>
    <t>Otros - Unión Europea</t>
  </si>
  <si>
    <t>Otros - De otras Administraciones y Entes públicos</t>
  </si>
  <si>
    <t>DEUDAS A CORTO Y LARGO PLAZO</t>
  </si>
  <si>
    <t>I. OPERACIONES DE CRÉDITO A CORTO y LARGO PLAZO (1)</t>
  </si>
  <si>
    <t>Nº</t>
  </si>
  <si>
    <t>Tipo</t>
  </si>
  <si>
    <t>Fecha</t>
  </si>
  <si>
    <t>Entidad</t>
  </si>
  <si>
    <t>Epígrafe</t>
  </si>
  <si>
    <t>Avalada por</t>
  </si>
  <si>
    <t>Avalado por</t>
  </si>
  <si>
    <t>Importe</t>
  </si>
  <si>
    <t>Saldo 31-12</t>
  </si>
  <si>
    <t>Disposición Capital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</si>
  <si>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</si>
  <si>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</si>
  <si>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</si>
  <si>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</si>
  <si>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Operación</t>
  </si>
  <si>
    <t>Concesión</t>
  </si>
  <si>
    <t>Vencimiento</t>
  </si>
  <si>
    <t>Financiera</t>
  </si>
  <si>
    <t>Balance</t>
  </si>
  <si>
    <t>Cabildo (2)</t>
  </si>
  <si>
    <t>Otra entidad (3)</t>
  </si>
  <si>
    <t>Concedido (4)</t>
  </si>
  <si>
    <t>corto plazo</t>
  </si>
  <si>
    <t>largo plazo</t>
  </si>
  <si>
    <t xml:space="preserve">   Total </t>
  </si>
  <si>
    <t>II. OTRAS DEUDAS A CORTO y LARGO PLAZO (1)</t>
  </si>
  <si>
    <t>A) DEUDAS TRANSFORMABLES EN SUBVENCIONES</t>
  </si>
  <si>
    <t>Tipo de</t>
  </si>
  <si>
    <t xml:space="preserve">Descripción de </t>
  </si>
  <si>
    <t>Año de</t>
  </si>
  <si>
    <t>Fecha máx.</t>
  </si>
  <si>
    <t>Altas (Concedidas)</t>
  </si>
  <si>
    <t>Bajas (Reintegro)</t>
  </si>
  <si>
    <t>Traspaso (9)           (No reintegrables)</t>
  </si>
  <si>
    <t>Otros gastos financieros (7)</t>
  </si>
  <si>
    <t>la aportación</t>
  </si>
  <si>
    <t>justificación</t>
  </si>
  <si>
    <t>otorgante</t>
  </si>
  <si>
    <t>corto plazo (522)</t>
  </si>
  <si>
    <t>largo plazo (172)</t>
  </si>
  <si>
    <t>Corriente</t>
  </si>
  <si>
    <t>Plan de Marketing</t>
  </si>
  <si>
    <t>Capital</t>
  </si>
  <si>
    <t>SUBTOTAL A)</t>
  </si>
  <si>
    <t>Aportaciones corrientes</t>
  </si>
  <si>
    <t>ejercicios anteriores</t>
  </si>
  <si>
    <t>Aportaciones de capital</t>
  </si>
  <si>
    <t>B) RESTO DE OTROS PASIVOS FINANCIEROS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</si>
  <si>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(5)</t>
    </r>
  </si>
  <si>
    <t xml:space="preserve">Traspasos (9)          sin efecto monetario  </t>
  </si>
  <si>
    <t>(2)</t>
  </si>
  <si>
    <t>Fianza alquiler Restaurante</t>
  </si>
  <si>
    <t>NO</t>
  </si>
  <si>
    <t>Operaciones con partes vinculadas</t>
  </si>
  <si>
    <t xml:space="preserve"> </t>
  </si>
  <si>
    <t>SUBTOTAL B)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</si>
  <si>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</si>
  <si>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II.1. - B) II.2.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II.1  C) II.2.  )</t>
    </r>
    <r>
      <rPr>
        <sz val="10"/>
        <color theme="1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</si>
  <si>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3.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II. 3. )</t>
    </r>
    <r>
      <rPr>
        <sz val="10"/>
        <color theme="1"/>
        <rFont val="Arial"/>
        <family val="2"/>
      </rPr>
      <t>, y  deudas con entidades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III. )</t>
    </r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</si>
  <si>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</si>
  <si>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(3) Indicar la entidad, distinta del Excmo. Cabildo Insular de Tenerife que avala la operación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</si>
  <si>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</si>
  <si>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</si>
  <si>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</si>
  <si>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</si>
  <si>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</si>
  <si>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>(9) Traspasos por consideración de subvención no reintegrable, y otros traspasos sin efecto monetario. (Movimientos al debe con signo positivo y al haber con signo negativo)</t>
  </si>
  <si>
    <t>FC-10</t>
  </si>
  <si>
    <t>DEUDA VIVA Y PREVISIÓN DE VENCIMIENTOS DE DEUDA</t>
  </si>
  <si>
    <t>Deuda viva</t>
  </si>
  <si>
    <t>Vencimientos previstos</t>
  </si>
  <si>
    <t>a 31 dic.</t>
  </si>
  <si>
    <t>ene</t>
  </si>
  <si>
    <t>feb</t>
  </si>
  <si>
    <t>mar</t>
  </si>
  <si>
    <t>Concepto</t>
  </si>
  <si>
    <t>Deudas a corto plazo (Operaciones de tesorería)  (2)</t>
  </si>
  <si>
    <t>Deudas a largo plazo  (2)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</si>
  <si>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</si>
  <si>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</si>
  <si>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</si>
  <si>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(FFEL)  (1)</t>
  </si>
  <si>
    <t xml:space="preserve">   Arrendamiento Financiero</t>
  </si>
  <si>
    <t xml:space="preserve">   Asociaciones público - privadas</t>
  </si>
  <si>
    <t xml:space="preserve">   Pagos aplazados por operaciones con terceros</t>
  </si>
  <si>
    <t xml:space="preserve">   Otras operaciones de crédito  (3)</t>
  </si>
  <si>
    <t>Total deuda viva PDE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</si>
  <si>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</si>
  <si>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</si>
  <si>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</si>
  <si>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</si>
  <si>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Endeudamiento a efectos de la aplicación del régimen de autorización recogido en el árticulo 53 TRLRHL y DF 31ª LPGE 2013</t>
  </si>
  <si>
    <t>Deudas con Administraciones Públicas</t>
  </si>
  <si>
    <t xml:space="preserve">   Con la Administración General del Estado</t>
  </si>
  <si>
    <t xml:space="preserve">   Con la Comunidad Autónoma</t>
  </si>
  <si>
    <t xml:space="preserve">   Con la Diputación Provincial Consejo o Cabildo Insular</t>
  </si>
  <si>
    <t xml:space="preserve">   Con la Seguridad Social</t>
  </si>
  <si>
    <t xml:space="preserve">   Con la AEAT</t>
  </si>
  <si>
    <t xml:space="preserve">   Con otras Administraciones Públicas</t>
  </si>
  <si>
    <t>Otras deudas</t>
  </si>
  <si>
    <t>Total deuda viva a efectos del régimen de autorización</t>
  </si>
  <si>
    <t xml:space="preserve">(1) En las deudas con las Administraciones Públicas únicamente se incluirán los préstamos con el Fondo de Financiación a Entidades Locales, que incluye el Fondo de Impulso Económico, el Fondo de Ordenación y el Fondo en liquidación para la financiación de los Pagos a Proveedores de EELL, en este último tanto si se han instrumentado través de una operación de endeudamiento, como a través de la participación en los tributos del Estado (PTE). </t>
  </si>
  <si>
    <t>(2) Se corresponden a importes por operaciones de Tesorería y no por otro tipo de deudas, como pueden ser las tarjetas de crédito. El importe por tarjetas de crédito no se debe informar aquí</t>
  </si>
  <si>
    <t>(3) No han de incluirse las deudas contraídas con empresas del grupo, ni con los Acreedores comerciales, ni las fianzas, ni los depósitos recibidos.</t>
  </si>
  <si>
    <t>FC-11</t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</si>
  <si>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</si>
  <si>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</si>
  <si>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t xml:space="preserve">   Otras operaciones de crédito  (2)</t>
  </si>
  <si>
    <t xml:space="preserve">   Total vencimientos</t>
  </si>
  <si>
    <t>Vencimientos a efectos de la aplicación del régimen de autorización recogido en el árticulo 53 TRLRHL y DF 31ª LPGE 2013</t>
  </si>
  <si>
    <t>Total vencimientos a efectos del régimen de autorización</t>
  </si>
  <si>
    <t>NOTA</t>
  </si>
  <si>
    <t>(2) No han de incluirse las deudas contraídas con empresas del grupo, ni con los Acreedores comerciales, ni las fianzas, ni los depósitos recibidos.</t>
  </si>
  <si>
    <t>FC-12</t>
  </si>
  <si>
    <t>PERSONAL</t>
  </si>
  <si>
    <t xml:space="preserve">I. SECTORES A CONSIDERAR. (Se cumplimentará un cuadro para cada uno de los sectores de actividad de la Entidad)    </t>
  </si>
  <si>
    <t>(Marcar con X)</t>
  </si>
  <si>
    <t>x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</si>
  <si>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</si>
  <si>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</si>
  <si>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</si>
  <si>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</si>
  <si>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</si>
  <si>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>II. DATOS DE PLANTILLAS Y RETRIBUCIONES DE UN DETERMINADO SECTOR</t>
  </si>
  <si>
    <t xml:space="preserve">  Número total de efectivos</t>
  </si>
  <si>
    <t xml:space="preserve">  Número total de gastos</t>
  </si>
  <si>
    <t>III. GASTOS DISTRIBUIDOS POR GRUPOS DE PERSONAL</t>
  </si>
  <si>
    <t>Retribuciones distribuidas por grupos</t>
  </si>
  <si>
    <t>Grupo de</t>
  </si>
  <si>
    <t>Número de</t>
  </si>
  <si>
    <t>Sueldos y salarios</t>
  </si>
  <si>
    <t>Retribución</t>
  </si>
  <si>
    <t>Planes de</t>
  </si>
  <si>
    <t xml:space="preserve">Otras </t>
  </si>
  <si>
    <t>Total</t>
  </si>
  <si>
    <t>efectivos</t>
  </si>
  <si>
    <t>(excepto variable)</t>
  </si>
  <si>
    <t>Variable</t>
  </si>
  <si>
    <t>Pensiones</t>
  </si>
  <si>
    <t>Retribuciones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</si>
  <si>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</si>
  <si>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</si>
  <si>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</si>
  <si>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</si>
  <si>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</si>
  <si>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</si>
  <si>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 xml:space="preserve">Total </t>
  </si>
  <si>
    <t>IV. GASTOS COMUNES SIN DISTRIBUIR POR GRUPOS</t>
  </si>
  <si>
    <t>Acción social</t>
  </si>
  <si>
    <t>Seguridad Social</t>
  </si>
  <si>
    <t>V. OBSERVACIONES</t>
  </si>
  <si>
    <t>Esta hoja se cumplimentará con los mismos datos que resulten de la hoja 'Resumen Personal' del fichero "Desglose gastos personal".</t>
  </si>
  <si>
    <t>FC-13</t>
  </si>
  <si>
    <t>OPERACIONES INTERNAS</t>
  </si>
  <si>
    <t>TRANSACCIONES (de la cuenta de Pérdidas y Ganancias)</t>
  </si>
  <si>
    <t>Clasificación IGAE</t>
  </si>
  <si>
    <t>Tipo operación</t>
  </si>
  <si>
    <t>Ingresos (IGIC incluido)</t>
  </si>
  <si>
    <t>Gastos (IGIC incluido)</t>
  </si>
  <si>
    <t>ECIT o Entidades con participación íntegra del ECIT</t>
  </si>
  <si>
    <t>CABILDO INSULAR DE TENERIFE</t>
  </si>
  <si>
    <t>IASS</t>
  </si>
  <si>
    <t xml:space="preserve">CONSEJO INSULAR DE AGUAS </t>
  </si>
  <si>
    <t>O.A. MUSEOS Y CENTROS</t>
  </si>
  <si>
    <t xml:space="preserve">PATRONATO INSULAR DE MÚSICA </t>
  </si>
  <si>
    <t>TEA, TENERIFE ESPACIO DE LAS ARTES</t>
  </si>
  <si>
    <t>BALTEN</t>
  </si>
  <si>
    <t>AGROTEIDE (en extinción)</t>
  </si>
  <si>
    <t>Casino Taoro, S.A.</t>
  </si>
  <si>
    <t>Casino Playa de las Américas, S.A.</t>
  </si>
  <si>
    <t>Casino de Santa Cruz de Tenerife, S.A.</t>
  </si>
  <si>
    <t>Institución Ferial de Tenerife, S.A.</t>
  </si>
  <si>
    <t>Metropolitano de Tenerife, S.A. (MTSA)</t>
  </si>
  <si>
    <t>Gestión Insular de Aguas de Tenerife, S.A. (GESTA)</t>
  </si>
  <si>
    <t>Empresa Insular de Artesanía, S.A.</t>
  </si>
  <si>
    <t>Sociedad Insular para la Promoción de las personas con discapacidad, S.L. (SINPROMI).</t>
  </si>
  <si>
    <t>Auditorio de Tenerife, S.A.</t>
  </si>
  <si>
    <t>Gestión Insular para el Deporte, la Cultura y el Ocio, S.A. (IDECO)</t>
  </si>
  <si>
    <t>Fundación Canaria para el Avance de la Biomedicina y la Biotecnología (BIOAVANCE)</t>
  </si>
  <si>
    <t>Fundación Canaria Insular para la Formación, el Empleo y el Desarrollo Empresarial (FIFEDE).</t>
  </si>
  <si>
    <t>Entidades con participación mayoritaria del ECIT</t>
  </si>
  <si>
    <t>Instituto Tecnológico de Energías Renovables, S.A. (ITER)</t>
  </si>
  <si>
    <t>Cultivos y Tecnología Agraria de Tenerife, S.A.  (CULTESA)</t>
  </si>
  <si>
    <t>Parque Científico y Tecnológico de Tenerife, S.A. (PCTT – Intech)</t>
  </si>
  <si>
    <t>Instituto Tecnológico y de Telecom. de Tenerife, S.L. (IT3).</t>
  </si>
  <si>
    <t>Instituto Volcanológico de Canarias (INVOLCAN)</t>
  </si>
  <si>
    <t>Canarias Submarine Link S.L. (CANALINK)</t>
  </si>
  <si>
    <t>Instituto Médico Tinerfeño, S.A. (IMETISA)</t>
  </si>
  <si>
    <t>SPET Turismo de Tenerife, S.A.</t>
  </si>
  <si>
    <t>Canalink Africa S.L.</t>
  </si>
  <si>
    <t>Canalink Baharicom S.L.</t>
  </si>
  <si>
    <t>Transportes Interurbanos de Tenerife, S.A (TITSA)</t>
  </si>
  <si>
    <t>Fundación Canaria Tenerife Rural.</t>
  </si>
  <si>
    <t xml:space="preserve">Fundación Canaria, Agencia Insular de la Energía </t>
  </si>
  <si>
    <t>Fundación Factoría Canaria de la Innovación Turística (FIT)
(En proceso de liquidación)</t>
  </si>
  <si>
    <t>Entidades con participación minoritaria del ECIT</t>
  </si>
  <si>
    <t>Polígono Industrial de Granadilla.</t>
  </si>
  <si>
    <t>Mercatenerife, S.A.</t>
  </si>
  <si>
    <t>Eólicas de Tenerife, A.I.E.</t>
  </si>
  <si>
    <t>Polígono Industrial de Güímar, A.M.C.  (en extinción)</t>
  </si>
  <si>
    <t>Consorcio de Tributos de Tenerife.</t>
  </si>
  <si>
    <t>Consorcio Isla Baja.</t>
  </si>
  <si>
    <t>Consorcio de Prevención, Extinción de Incendios y Salvamento de la Isla de Tenerife.</t>
  </si>
  <si>
    <t>Consorcio Urbanístico para la Rehabilitación del Puerto de la Cruz.</t>
  </si>
  <si>
    <t>SALDOS (del Balance)</t>
  </si>
  <si>
    <t>Saldos deudores</t>
  </si>
  <si>
    <t>Saldos acreedores</t>
  </si>
  <si>
    <t>Deberá informarse en la memoria de actividades sobre la naturaleza de las operaciones que se prevé realizar. A este respecto el art. 111 del TRLHL define como operaciones internas:</t>
  </si>
  <si>
    <t xml:space="preserve">   - Gastos de ingresos derivados de cesiones de personal</t>
  </si>
  <si>
    <t xml:space="preserve">   - Compraventas de bienes corrientes y de capital</t>
  </si>
  <si>
    <t xml:space="preserve">   - Prestaciones de servicios</t>
  </si>
  <si>
    <t xml:space="preserve">   - Tributos locales y precios públicos o privados exigibles por las Entidades cuyos presupuestos se consoliden</t>
  </si>
  <si>
    <t xml:space="preserve">   - Otros ingresos y gastos de similar naturaleza</t>
  </si>
  <si>
    <t xml:space="preserve">Las operaciones a incluir aquí serán las facturaciones entre entidades dependientes (con IGIC incluido), las facturaciones con el Cabildo (encargos), préstamos realizados entre entidades dependientes y aportaciones entre entidades dependientes si las hubiese. </t>
  </si>
  <si>
    <t>En ningún caso incluir las aportaciones y subvenciones del ECIT que han sido detalladas en FC-9</t>
  </si>
  <si>
    <t>FC-14</t>
  </si>
  <si>
    <t>ENCARGOS A MEDIOS PROPIOS PERSONIFICADOS DE LOS PODERES ADJUDICADORES</t>
  </si>
  <si>
    <t>RELACIÓN DE ENCARGOS DEL CABILDO INSULAR DE TENERIFE</t>
  </si>
  <si>
    <t>Poder</t>
  </si>
  <si>
    <t>Importe anualidad</t>
  </si>
  <si>
    <t>Adjudicador</t>
  </si>
  <si>
    <t>Área</t>
  </si>
  <si>
    <t>Encargo</t>
  </si>
  <si>
    <t>Duración</t>
  </si>
  <si>
    <t>FC-15</t>
  </si>
  <si>
    <t>CAPACIDAD / NECESIDAD DE FINANCIACIÓN DE LA ENTIDAD (Calculada conforme a las normas del Sistema Europeo de Cuentas)</t>
  </si>
  <si>
    <t>( +/- ) Importe</t>
  </si>
  <si>
    <t>contemplado</t>
  </si>
  <si>
    <t>Informe Evaluación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</si>
  <si>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</si>
  <si>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</si>
  <si>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</si>
  <si>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 (Inluido aportaciones de socios)</t>
  </si>
  <si>
    <t>Subvenciones y Transferencias corrientes</t>
  </si>
  <si>
    <t>Ingresos Financieros por intereses</t>
  </si>
  <si>
    <t>Ingresos de participaciones en instrumentos de patrimonio (dividendos)</t>
  </si>
  <si>
    <t>Ajuste de Ingresos de participaciones en instrumentos de patrimonio (dividendos)  (3)</t>
  </si>
  <si>
    <t>Celda no formulada (rellenar a mano por la entidad)</t>
  </si>
  <si>
    <t>Ingresos excepcionales</t>
  </si>
  <si>
    <t>Aportaciones patrimoniales (Aumento dotación fundacional / fondo social)</t>
  </si>
  <si>
    <t>Subvenciones de capital previsto recibir</t>
  </si>
  <si>
    <t>II. Gastos a efectos de Contabilidad Nacional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</si>
  <si>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</si>
  <si>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</si>
  <si>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</si>
  <si>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</si>
  <si>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</si>
  <si>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</si>
  <si>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</si>
  <si>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</si>
  <si>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Aplicación de Provisiones </t>
  </si>
  <si>
    <t>Inversiones efectuadas por cuenta de Administraciones y Entidades Públicas (2)</t>
  </si>
  <si>
    <t xml:space="preserve">Ayudas, transferencias y subvenciones concedidas </t>
  </si>
  <si>
    <t xml:space="preserve">Capacidad / Necesidad de financiación de la entidad (Sistema Europeo Cuentas)    -     ( I + II ) </t>
  </si>
  <si>
    <t>(1) Este saldo aparecerá como mayor gasto en caso de reducción de existencias (-) y como menor gasto en caso de incremento (+)</t>
  </si>
  <si>
    <t>(2) En caso de encomiendas de ejecución de obra que se registre en cuentas diferentes al inmovilizado y existencias. Será el Volumen de obra certificada durante el ejercicio y que figure como derecho a cobrar.</t>
  </si>
  <si>
    <t xml:space="preserve">     Se trataría de encomiendas recibidas de Otras Administraciones Públicas que no sean del Cabildo Insular de Tenerife o bien procedente de las entidades dependientes del Cabildo no recogidas en el listado siguiente:</t>
  </si>
  <si>
    <t>Organismos Autónomos</t>
  </si>
  <si>
    <t>INSTITUTO INSULAR DE ATENCIÓN SOCIAL Y SOCIO SANITARIA (IASS)</t>
  </si>
  <si>
    <t>CONSEJO INSULAR DE AGUAS DE TENERIFE (CIAT)</t>
  </si>
  <si>
    <t>PATRONATO INSULAR DE MÚSICA (PIM)</t>
  </si>
  <si>
    <t>ORGANISMO AUTÓNOMO MUSEOS Y CENTROS (OAMC)</t>
  </si>
  <si>
    <t>Entidades Públicas Empresariales</t>
  </si>
  <si>
    <t>ENTIDAD INSULAR PARA EL DESARROLLO AGRÍCOLA, GANADERO Y PESQUERO DE TENERIFE (AGROTEIDE)</t>
  </si>
  <si>
    <t>Sociedades  íntegras</t>
  </si>
  <si>
    <t>EMPRESA INSULAR DE ARTESANÍA, S.A.</t>
  </si>
  <si>
    <t>SOCIEDAD INSULAR PARA LA PROMOCIÓN DE LAS PERSONAS CON DISCAPACIDAD, S.L. (SINPROMI)</t>
  </si>
  <si>
    <t>AUDITORIO DE TENERIFE , S.A.</t>
  </si>
  <si>
    <t>GESTIÓN INSULAR PARA EL DEPORTE, LA CULTURA Y EL OCIO, S.A. (IDECO)</t>
  </si>
  <si>
    <t>Sociedades mayoritarias</t>
  </si>
  <si>
    <t>SPET TURISMO DE TENERIFE, S.A.</t>
  </si>
  <si>
    <t>INSTITUTO MEDICO TINERFEÑO, S.A. (IMETISA)</t>
  </si>
  <si>
    <t>CANALINK AFRICA S.L.U.</t>
  </si>
  <si>
    <t>CANALINK BAHARICOM, S.L</t>
  </si>
  <si>
    <t>INSTITUTO VOLCANOLÓGICO DE CANARIAS, S.A. (INVOLCAN)</t>
  </si>
  <si>
    <t>PARQUE CIENTÍFICO Y TECNOLÓGICO DE TENERIFE, S.A. (PCTT)</t>
  </si>
  <si>
    <t>Fundaciones e Instituciones sin ánimo de lucro</t>
  </si>
  <si>
    <t>FUNDACIÓN CANARIA TENERIFE RURAL</t>
  </si>
  <si>
    <t>FUNDACIÓN CANARIA INSULAR PARA LA FORMACIÓN, EL EMPLEO Y EL DESARROLLO EMPRESARIAL (FIFEDE)</t>
  </si>
  <si>
    <t>FUNDACIÓN CANARIA, AGENCIA INSULAR DE LA ENERGÍA</t>
  </si>
  <si>
    <t>PARQUES EÓLICOS DE GRANADILLA, A.I.E.</t>
  </si>
  <si>
    <t>FUNDACIÓN FACTORÍA CANARIA DE LA INNOVACIÓN TURÍSTICA (FIT)</t>
  </si>
  <si>
    <t>FUNDACIÓN CANARIA PARA EL AVANCE DE LA BIOMEDICINA Y LA BIOTECNOLOGÍA (BIOAVANCE)</t>
  </si>
  <si>
    <t>Consorcios</t>
  </si>
  <si>
    <t>CONSORCIO DE TRIBUTOS DE TENERIFE</t>
  </si>
  <si>
    <t>CONSORCIO ISLA BAJA</t>
  </si>
  <si>
    <t>CONSORCIO URBANÍSTICO PARA LA REHABILITACIÓN DEL PUERTO DE LA CRUZ</t>
  </si>
  <si>
    <t>CONSORCIO DE PREVENCIÓN, EXTINCIÓN DE INCENDIOS Y SALVAMENTO DE LA ISLA DE TENERIFE</t>
  </si>
  <si>
    <t>(3) Debe ajustarse la cuantía de los dividendos recibidos que no proceda de Beneficio del Ejercicio Corriente Antes de Impuestos. (P. Ej. Distribución reservas, distribucioón de resultados no ordinarios)</t>
  </si>
  <si>
    <t>FC-16</t>
  </si>
  <si>
    <t>(2): "Se trataría de encomiendas recibidas de Otras Administraciones Públicas que no sean del Cabildo Insular de Tenerife o bien procedente de las entidades dependientes del Cabildo no recogidas en el listado siguiente</t>
  </si>
  <si>
    <t xml:space="preserve">Saldo inicial </t>
  </si>
  <si>
    <t>Saldo final</t>
  </si>
  <si>
    <t>OBSERVACIONES (1)</t>
  </si>
  <si>
    <t>A LARGO PLAZO</t>
  </si>
  <si>
    <t>(+) Dotaciones</t>
  </si>
  <si>
    <t>(-) Aplicaciones</t>
  </si>
  <si>
    <t>(-) Excesos</t>
  </si>
  <si>
    <t xml:space="preserve">(+/-) Traspasos (Reclasificaciones) 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</si>
  <si>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</si>
  <si>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</si>
  <si>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</si>
  <si>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</si>
  <si>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>A CORTO PLAZO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</si>
  <si>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</si>
  <si>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</si>
  <si>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</si>
  <si>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</si>
  <si>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</si>
  <si>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</si>
  <si>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FC-16_1</t>
  </si>
  <si>
    <t>FUENTES DE FINANCIACIÓN</t>
  </si>
  <si>
    <t>Importe s/criterio del aportante</t>
  </si>
  <si>
    <t>%</t>
  </si>
  <si>
    <t>1. Ventas de bienes y prestaciones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</si>
  <si>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</si>
  <si>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</si>
  <si>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</si>
  <si>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</si>
  <si>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</si>
  <si>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</si>
  <si>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 Ventas de bienes y prestaciones de servicios al sector privado</t>
  </si>
  <si>
    <t>3. Transferencias y subvenciones recibidas</t>
  </si>
  <si>
    <t xml:space="preserve">    3.1. Transferencias y subvenciones recibidas de explotación</t>
  </si>
  <si>
    <t>De la Entidad Local o sus unidades dependientes</t>
  </si>
  <si>
    <t>De otras administraciones y entes públicos</t>
  </si>
  <si>
    <t>De la Unión Europea</t>
  </si>
  <si>
    <t xml:space="preserve">    3.2. Transferencias y subvenciones recibidas de capital</t>
  </si>
  <si>
    <t>4. Otros ingresos (especificar en su caso)</t>
  </si>
  <si>
    <t>Ingresos accesorios, siempre que procedan de una actividad productiva</t>
  </si>
  <si>
    <t>El aumento (+) o la disminución (-) de existencias de productos terminados y en curso</t>
  </si>
  <si>
    <t>Cuotas asociados e ingresos de promociones, patrocinadores y colaboraciones</t>
  </si>
  <si>
    <t>TOTAL ( 1 + 2 + 3 + 4 )</t>
  </si>
  <si>
    <t>En ningún caso se considerarán las aportaciones genéricas del anexo III ni los restantes ingresos recogidos en la cuenta de pérdidas y ganancias, tales como, excesos de provisiones para riesgos y gastos, ingresos financieros, resultados extraordinarios, trabajos realizados por la empresa para su inmovilizado, ni la imputación a resultados de las subvenciones de capital.</t>
  </si>
  <si>
    <t>FC-90</t>
  </si>
  <si>
    <t>ESTRUCTURA PRESUPUESTARIA  -  ESTADO DE PREVISIÓN DE INGRESOS Y GASTOS</t>
  </si>
  <si>
    <t>Capítulos Ingresos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</si>
  <si>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</si>
  <si>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</si>
  <si>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</si>
  <si>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</si>
  <si>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</si>
  <si>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</si>
  <si>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</si>
  <si>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</si>
  <si>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</si>
  <si>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VIII.</t>
  </si>
  <si>
    <t>Activos financieros</t>
  </si>
  <si>
    <t>IX.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</si>
  <si>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</si>
  <si>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</si>
  <si>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</si>
  <si>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</si>
  <si>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Gastos</t>
  </si>
  <si>
    <t>Gastos de Personal</t>
  </si>
  <si>
    <t>Compra de Bienes y Servicios</t>
  </si>
  <si>
    <t>Intereses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</si>
  <si>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</si>
  <si>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</si>
  <si>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</si>
  <si>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</si>
  <si>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</si>
  <si>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</si>
  <si>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</si>
  <si>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</si>
  <si>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</si>
  <si>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RESULTADO DE LA COMPROBACIÓN  ( A + B )</t>
  </si>
  <si>
    <t>FC-92</t>
  </si>
  <si>
    <t>(PyG)</t>
  </si>
  <si>
    <t>(Balance)</t>
  </si>
  <si>
    <t>Ajuste (Manual)</t>
  </si>
  <si>
    <t>PRESUPUESTO</t>
  </si>
  <si>
    <t>Comentario ajuste manual</t>
  </si>
  <si>
    <t>Ventas y otros ingresos de la actividad mercantil</t>
  </si>
  <si>
    <t>Cuotas de asociados y afiliados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</si>
  <si>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</si>
  <si>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</si>
  <si>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 con efecto monetario</t>
  </si>
  <si>
    <t>Anticipos</t>
  </si>
  <si>
    <t>Introducir manualmente, efecto de anticipos significativos en la entidad que sea aplicable</t>
  </si>
  <si>
    <t>Subvenciones, donaciones y legados imputados al excedente del ejercicio (Detalle en FC-3.1)</t>
  </si>
  <si>
    <t>Ajuste de traspaso a no reintegrables (Ejercicio n-1 y anteriores) - Aport. Corrientes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</si>
  <si>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</si>
  <si>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</si>
  <si>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</si>
  <si>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Subvenciones de capital concedidas. (celda I31)</t>
  </si>
  <si>
    <t>Emisión de instrumentos de patrimonio (celda H64)</t>
  </si>
  <si>
    <t>Ajuste de traspaso a no reintegrables (Ejercicio n-1 y anteriores)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</si>
  <si>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</si>
  <si>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</si>
  <si>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</si>
  <si>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</si>
  <si>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operaciones de crédito (celda M42)</t>
  </si>
  <si>
    <t>Disposiciones de operaciones de cobertura</t>
  </si>
  <si>
    <t>Introducir manualmente, en PAIF plantilla no está incluido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</si>
  <si>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</si>
  <si>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</si>
  <si>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</si>
  <si>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</si>
  <si>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</si>
  <si>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</si>
  <si>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</si>
  <si>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>Ingresos Excepcionales sin efecto monetario</t>
  </si>
  <si>
    <t xml:space="preserve">  TOTAL INGRESOS (PRESUPUESTARIOS Y NO PRESUPUESTARIOS)</t>
  </si>
  <si>
    <t>FC-3. FC-7</t>
  </si>
  <si>
    <t>Aprovisionamientos  -   Compras</t>
  </si>
  <si>
    <t>El dato formulado no son compras, incluye variación existencias</t>
  </si>
  <si>
    <t>20. Impuesto de beneficios</t>
  </si>
  <si>
    <t>Gastos imputados a reservas</t>
  </si>
  <si>
    <t>Detalle de ingresos y gastos excepcionales. GASTOS 678 con efecto monetario</t>
  </si>
  <si>
    <t>Adquisiciones de inmovilizado e inversiones inmobiliarias (celda F31)</t>
  </si>
  <si>
    <t>Intereses capitalizados (celda H31)</t>
  </si>
  <si>
    <t>Reducción de capital</t>
  </si>
  <si>
    <t>Formulado con variaciones de balance, comprobar por si hay ampliaciones y reducciones de capital en el ejercicio. En PAIF no hay detalle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</si>
  <si>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</si>
  <si>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</si>
  <si>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</si>
  <si>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Adquisiciones. Inversiones en otras empresas. Resto inversiones (celda H58)</t>
  </si>
  <si>
    <t>Amortizaciones de capital de operaciones de crédito (celda N43)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</si>
  <si>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</si>
  <si>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</si>
  <si>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</si>
  <si>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</si>
  <si>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</si>
  <si>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</si>
  <si>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</si>
  <si>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</si>
  <si>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Deterioro y resultado de enajenaciones de inmovilizado. Deterioro y pérdidas</t>
  </si>
  <si>
    <t>Variación del valor razonable en instrumentos financieros</t>
  </si>
  <si>
    <t>FC-3_1</t>
  </si>
  <si>
    <t>Gastos Excepcionales sin efecto monetario</t>
  </si>
  <si>
    <t>Diferencias en cambio</t>
  </si>
  <si>
    <t>TOTAL GASTOS PRESUPUESTARIOS Y NO PRESUPUESTARIOS</t>
  </si>
  <si>
    <t xml:space="preserve">  B. RESULTADO TOTAL (PRESUPUESTARIO Y NO PRESUPUESTARIO)</t>
  </si>
  <si>
    <t>Variaciones de BALANCE sin efecto en presupuesto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</si>
  <si>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</si>
  <si>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</si>
  <si>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</si>
  <si>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</si>
  <si>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</si>
  <si>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FC-4 ACTIVO</t>
  </si>
  <si>
    <t>Activo por impuesto diferido</t>
  </si>
  <si>
    <t>Variación de Existencias</t>
  </si>
  <si>
    <t>Variación de usuarios y otros deudores de la actividad propia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</si>
  <si>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</si>
  <si>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</si>
  <si>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</si>
  <si>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del pasivo corriente - no corriente</t>
  </si>
  <si>
    <t>FC-4 PASIVO</t>
  </si>
  <si>
    <t>Variación de provisiones a largo plazo</t>
  </si>
  <si>
    <t>Variación de provisiones a corto plazo</t>
  </si>
  <si>
    <t>Variación de pasivos por impuesto diferido</t>
  </si>
  <si>
    <t>Variación de periodificaciones a largo plazo</t>
  </si>
  <si>
    <t>Variación de beneficiarios - acreedores</t>
  </si>
  <si>
    <t>Variación de acreedores comerciales y otras cuentas a pagar</t>
  </si>
  <si>
    <t>Variación del patrimonio neto</t>
  </si>
  <si>
    <t>Subvenciones donaciones y legados</t>
  </si>
  <si>
    <t>FC-3 PyG</t>
  </si>
  <si>
    <t>Ajustes por cambios de criterio y ajustes por errores [ E) + F) ]</t>
  </si>
  <si>
    <t>Otras variaciones (detallar)</t>
  </si>
  <si>
    <t>FC-90_Detalle</t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</si>
  <si>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</si>
  <si>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</si>
  <si>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</si>
  <si>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</si>
  <si>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</si>
  <si>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t>APORTACIONES ESPECÍFICAS y GENÉRICAS</t>
  </si>
  <si>
    <t>Aportaciones específicas de capital s/ criterio de la entidad concedente</t>
  </si>
  <si>
    <t>Aportaciones específicas corrientes s/ criterio de la entidad concedente</t>
  </si>
  <si>
    <t>Aportaciones genéricas s/ criterio de la entidad concedente</t>
  </si>
  <si>
    <t>TOTAL APORTACIONES DEL EJERCICIO S/ ENTIDAD CONCEDENTE</t>
  </si>
  <si>
    <t>Clasificación en estructura presupuestaria:</t>
  </si>
  <si>
    <t>Ingresos por pasivos financieros (solo deudas transformables en subvenciones)</t>
  </si>
  <si>
    <t xml:space="preserve">          Por aportaciones corrientes consideradas subvenciones reintegrables (deudas transformables en subvenciones)</t>
  </si>
  <si>
    <t xml:space="preserve">          Por aportaciones de capital consideradas subvenciones reintegrables (deudas transformables en subvenciones)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</si>
</sst>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dd\-mm\-yy;@"/>
  </numFmts>
  <fonts count="72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sz val="11"/>
      <name val="Calib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3743705557422"/>
      </top>
      <bottom style="thin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9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89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10" fillId="5" borderId="0" xfId="0" applyFont="1" applyFill="1" applyAlignment="1">
      <alignment vertical="center"/>
    </xf>
    <xf numFmtId="0" fontId="7" fillId="2" borderId="1" xfId="0" applyFont="1" applyFill="1" applyBorder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/>
    <xf numFmtId="0" fontId="12" fillId="2" borderId="9" xfId="0" applyFont="1" applyFill="1" applyBorder="1"/>
    <xf numFmtId="0" fontId="7" fillId="2" borderId="10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 wrapText="1"/>
    </xf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/>
    </xf>
    <xf numFmtId="164" fontId="14" fillId="2" borderId="0" xfId="0" applyNumberFormat="1" applyFont="1" applyFill="1" applyAlignment="1">
      <alignment horizontal="center"/>
    </xf>
    <xf numFmtId="0" fontId="14" fillId="2" borderId="2" xfId="0" applyFont="1" applyFill="1" applyBorder="1"/>
    <xf numFmtId="0" fontId="15" fillId="2" borderId="0" xfId="0" applyFont="1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18" fillId="2" borderId="0" xfId="0" applyFont="1" applyFill="1"/>
    <xf numFmtId="164" fontId="18" fillId="2" borderId="0" xfId="0" applyNumberFormat="1" applyFont="1" applyFill="1" applyAlignment="1">
      <alignment horizontal="center"/>
    </xf>
    <xf numFmtId="0" fontId="18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0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/>
    </xf>
    <xf numFmtId="4" fontId="18" fillId="2" borderId="0" xfId="0" applyNumberFormat="1" applyFont="1" applyFill="1" applyAlignment="1">
      <alignment horizontal="left"/>
    </xf>
    <xf numFmtId="0" fontId="18" fillId="2" borderId="6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4" fontId="18" fillId="2" borderId="7" xfId="0" applyNumberFormat="1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4" fontId="19" fillId="2" borderId="0" xfId="0" applyNumberFormat="1" applyFont="1" applyFill="1" applyAlignment="1">
      <alignment horizontal="left" vertical="center"/>
    </xf>
    <xf numFmtId="0" fontId="12" fillId="2" borderId="9" xfId="0" applyFont="1" applyFill="1" applyBorder="1" applyAlignment="1">
      <alignment horizontal="left"/>
    </xf>
    <xf numFmtId="0" fontId="10" fillId="5" borderId="0" xfId="0" applyFont="1" applyFill="1" applyAlignment="1">
      <alignment horizontal="left" vertical="center"/>
    </xf>
    <xf numFmtId="4" fontId="10" fillId="5" borderId="0" xfId="0" applyNumberFormat="1" applyFont="1" applyFill="1" applyAlignment="1">
      <alignment horizontal="left" vertical="center"/>
    </xf>
    <xf numFmtId="0" fontId="12" fillId="2" borderId="10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8" fillId="2" borderId="11" xfId="0" applyFont="1" applyFill="1" applyBorder="1" applyAlignment="1">
      <alignment horizontal="left"/>
    </xf>
    <xf numFmtId="4" fontId="18" fillId="2" borderId="12" xfId="0" applyNumberFormat="1" applyFont="1" applyFill="1" applyBorder="1" applyAlignment="1">
      <alignment horizontal="left"/>
    </xf>
    <xf numFmtId="0" fontId="18" fillId="2" borderId="13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" fontId="7" fillId="2" borderId="37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vertical="center"/>
    </xf>
    <xf numFmtId="0" fontId="19" fillId="2" borderId="10" xfId="0" applyFont="1" applyFill="1" applyBorder="1" applyAlignment="1">
      <alignment horizontal="left"/>
    </xf>
    <xf numFmtId="4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" fontId="12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67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4" fontId="7" fillId="2" borderId="69" xfId="0" applyNumberFormat="1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/>
    </xf>
    <xf numFmtId="0" fontId="29" fillId="2" borderId="0" xfId="0" applyFont="1" applyFill="1" applyAlignment="1">
      <alignment horizontal="left" vertical="center"/>
    </xf>
    <xf numFmtId="4" fontId="29" fillId="2" borderId="0" xfId="0" applyNumberFormat="1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4" fontId="7" fillId="2" borderId="71" xfId="0" applyNumberFormat="1" applyFont="1" applyFill="1" applyBorder="1" applyAlignment="1">
      <alignment vertical="center"/>
    </xf>
    <xf numFmtId="4" fontId="7" fillId="2" borderId="66" xfId="0" applyNumberFormat="1" applyFont="1" applyFill="1" applyBorder="1" applyAlignment="1">
      <alignment vertical="center"/>
    </xf>
    <xf numFmtId="4" fontId="7" fillId="2" borderId="72" xfId="0" applyNumberFormat="1" applyFont="1" applyFill="1" applyBorder="1" applyAlignment="1">
      <alignment vertical="center"/>
    </xf>
    <xf numFmtId="4" fontId="7" fillId="2" borderId="73" xfId="0" applyNumberFormat="1" applyFont="1" applyFill="1" applyBorder="1" applyAlignment="1">
      <alignment vertical="center"/>
    </xf>
    <xf numFmtId="4" fontId="7" fillId="2" borderId="62" xfId="0" applyNumberFormat="1" applyFont="1" applyFill="1" applyBorder="1" applyAlignment="1">
      <alignment vertical="center"/>
    </xf>
    <xf numFmtId="4" fontId="7" fillId="2" borderId="65" xfId="0" applyNumberFormat="1" applyFont="1" applyFill="1" applyBorder="1" applyAlignment="1">
      <alignment vertical="center"/>
    </xf>
    <xf numFmtId="4" fontId="7" fillId="2" borderId="69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4" fontId="7" fillId="2" borderId="95" xfId="0" applyNumberFormat="1" applyFont="1" applyFill="1" applyBorder="1" applyAlignment="1">
      <alignment vertical="center"/>
    </xf>
    <xf numFmtId="4" fontId="7" fillId="2" borderId="98" xfId="0" applyNumberFormat="1" applyFont="1" applyFill="1" applyBorder="1" applyAlignment="1">
      <alignment vertical="center"/>
    </xf>
    <xf numFmtId="0" fontId="26" fillId="2" borderId="0" xfId="132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4" fontId="7" fillId="2" borderId="15" xfId="0" applyNumberFormat="1" applyFont="1" applyFill="1" applyBorder="1" applyAlignment="1">
      <alignment vertical="center"/>
    </xf>
    <xf numFmtId="0" fontId="13" fillId="3" borderId="51" xfId="0" applyFont="1" applyFill="1" applyBorder="1" applyAlignment="1">
      <alignment horizontal="left" vertical="center"/>
    </xf>
    <xf numFmtId="0" fontId="13" fillId="3" borderId="53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26" fillId="3" borderId="74" xfId="132" applyFont="1" applyFill="1" applyBorder="1" applyAlignment="1">
      <alignment horizontal="center" wrapText="1"/>
    </xf>
    <xf numFmtId="0" fontId="28" fillId="3" borderId="99" xfId="132" applyFont="1" applyFill="1" applyBorder="1" applyAlignment="1">
      <alignment horizontal="center" wrapText="1"/>
    </xf>
    <xf numFmtId="0" fontId="28" fillId="3" borderId="100" xfId="132" applyFont="1" applyFill="1" applyBorder="1" applyAlignment="1">
      <alignment horizontal="center" wrapText="1"/>
    </xf>
    <xf numFmtId="0" fontId="28" fillId="3" borderId="101" xfId="132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left" vertical="center"/>
    </xf>
    <xf numFmtId="0" fontId="26" fillId="3" borderId="41" xfId="132" applyFont="1" applyFill="1" applyBorder="1" applyAlignment="1">
      <alignment horizontal="center" wrapText="1"/>
    </xf>
    <xf numFmtId="0" fontId="10" fillId="3" borderId="56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4" fontId="12" fillId="2" borderId="54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vertical="center"/>
    </xf>
    <xf numFmtId="0" fontId="7" fillId="2" borderId="67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left"/>
    </xf>
    <xf numFmtId="0" fontId="26" fillId="3" borderId="70" xfId="132" applyFont="1" applyFill="1" applyBorder="1" applyAlignment="1">
      <alignment horizontal="center" wrapText="1"/>
    </xf>
    <xf numFmtId="0" fontId="7" fillId="3" borderId="54" xfId="0" applyFont="1" applyFill="1" applyBorder="1" applyAlignment="1">
      <alignment horizontal="left"/>
    </xf>
    <xf numFmtId="0" fontId="7" fillId="3" borderId="52" xfId="0" applyFont="1" applyFill="1" applyBorder="1" applyAlignment="1">
      <alignment horizontal="left"/>
    </xf>
    <xf numFmtId="0" fontId="26" fillId="3" borderId="53" xfId="132" applyFont="1" applyFill="1" applyBorder="1" applyAlignment="1">
      <alignment horizontal="center" wrapText="1"/>
    </xf>
    <xf numFmtId="0" fontId="7" fillId="3" borderId="0" xfId="0" applyFont="1" applyFill="1" applyAlignment="1">
      <alignment horizontal="left"/>
    </xf>
    <xf numFmtId="0" fontId="26" fillId="3" borderId="55" xfId="132" applyFont="1" applyFill="1" applyBorder="1" applyAlignment="1">
      <alignment horizontal="center" wrapText="1"/>
    </xf>
    <xf numFmtId="4" fontId="7" fillId="2" borderId="109" xfId="0" applyNumberFormat="1" applyFont="1" applyFill="1" applyBorder="1" applyAlignment="1">
      <alignment vertical="center"/>
    </xf>
    <xf numFmtId="4" fontId="7" fillId="2" borderId="85" xfId="0" applyNumberFormat="1" applyFont="1" applyFill="1" applyBorder="1" applyAlignment="1">
      <alignment vertical="center"/>
    </xf>
    <xf numFmtId="4" fontId="7" fillId="2" borderId="68" xfId="0" applyNumberFormat="1" applyFont="1" applyFill="1" applyBorder="1" applyAlignment="1">
      <alignment vertical="center"/>
    </xf>
    <xf numFmtId="4" fontId="14" fillId="2" borderId="0" xfId="0" applyNumberFormat="1" applyFont="1" applyFill="1" applyAlignment="1">
      <alignment horizontal="left"/>
    </xf>
    <xf numFmtId="4" fontId="14" fillId="2" borderId="105" xfId="0" applyNumberFormat="1" applyFont="1" applyFill="1" applyBorder="1" applyAlignment="1">
      <alignment horizontal="left"/>
    </xf>
    <xf numFmtId="4" fontId="14" fillId="2" borderId="106" xfId="0" applyNumberFormat="1" applyFont="1" applyFill="1" applyBorder="1" applyAlignment="1">
      <alignment horizontal="left"/>
    </xf>
    <xf numFmtId="4" fontId="14" fillId="2" borderId="107" xfId="0" applyNumberFormat="1" applyFont="1" applyFill="1" applyBorder="1" applyAlignment="1">
      <alignment horizontal="left"/>
    </xf>
    <xf numFmtId="4" fontId="7" fillId="2" borderId="86" xfId="0" applyNumberFormat="1" applyFont="1" applyFill="1" applyBorder="1" applyAlignment="1">
      <alignment vertical="center"/>
    </xf>
    <xf numFmtId="4" fontId="7" fillId="2" borderId="84" xfId="0" applyNumberFormat="1" applyFont="1" applyFill="1" applyBorder="1" applyAlignment="1">
      <alignment vertical="center"/>
    </xf>
    <xf numFmtId="0" fontId="26" fillId="3" borderId="110" xfId="132" applyFont="1" applyFill="1" applyBorder="1" applyAlignment="1">
      <alignment horizontal="center" wrapText="1"/>
    </xf>
    <xf numFmtId="0" fontId="26" fillId="3" borderId="111" xfId="132" applyFont="1" applyFill="1" applyBorder="1" applyAlignment="1">
      <alignment horizontal="center" wrapText="1"/>
    </xf>
    <xf numFmtId="0" fontId="26" fillId="3" borderId="112" xfId="132" applyFont="1" applyFill="1" applyBorder="1" applyAlignment="1">
      <alignment horizontal="center" wrapText="1"/>
    </xf>
    <xf numFmtId="0" fontId="18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7" fillId="3" borderId="5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26" fillId="3" borderId="112" xfId="132" applyFont="1" applyFill="1" applyBorder="1" applyAlignment="1">
      <alignment horizontal="center" vertical="center" wrapText="1"/>
    </xf>
    <xf numFmtId="0" fontId="26" fillId="3" borderId="101" xfId="132" applyFont="1" applyFill="1" applyBorder="1" applyAlignment="1">
      <alignment horizontal="center" vertical="center" wrapText="1"/>
    </xf>
    <xf numFmtId="0" fontId="26" fillId="3" borderId="113" xfId="132" applyFont="1" applyFill="1" applyBorder="1" applyAlignment="1">
      <alignment horizontal="center" vertical="center" wrapText="1"/>
    </xf>
    <xf numFmtId="4" fontId="3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7" fillId="4" borderId="0" xfId="0" applyFont="1" applyFill="1" applyAlignment="1">
      <alignment vertical="center" wrapText="1"/>
    </xf>
    <xf numFmtId="0" fontId="7" fillId="3" borderId="51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4" fontId="7" fillId="2" borderId="66" xfId="0" applyNumberFormat="1" applyFont="1" applyFill="1" applyBorder="1"/>
    <xf numFmtId="4" fontId="7" fillId="2" borderId="69" xfId="0" applyNumberFormat="1" applyFont="1" applyFill="1" applyBorder="1"/>
    <xf numFmtId="0" fontId="7" fillId="2" borderId="56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20" xfId="0" applyFont="1" applyFill="1" applyBorder="1"/>
    <xf numFmtId="0" fontId="3" fillId="2" borderId="0" xfId="0" applyFont="1" applyFill="1"/>
    <xf numFmtId="0" fontId="7" fillId="3" borderId="18" xfId="0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" fontId="7" fillId="2" borderId="15" xfId="0" applyNumberFormat="1" applyFont="1" applyFill="1" applyBorder="1"/>
    <xf numFmtId="10" fontId="34" fillId="6" borderId="115" xfId="0" applyNumberFormat="1" applyFont="1" applyFill="1" applyBorder="1" applyAlignment="1">
      <alignment horizontal="right"/>
    </xf>
    <xf numFmtId="10" fontId="7" fillId="2" borderId="18" xfId="131" applyNumberFormat="1" applyFont="1" applyFill="1" applyBorder="1" applyAlignment="1">
      <alignment horizontal="right"/>
    </xf>
    <xf numFmtId="10" fontId="26" fillId="2" borderId="0" xfId="0" applyNumberFormat="1" applyFont="1" applyFill="1" applyAlignment="1">
      <alignment horizontal="right" vertical="center"/>
    </xf>
    <xf numFmtId="10" fontId="7" fillId="2" borderId="18" xfId="0" applyNumberFormat="1" applyFont="1" applyFill="1" applyBorder="1" applyAlignment="1">
      <alignment horizontal="right"/>
    </xf>
    <xf numFmtId="4" fontId="33" fillId="6" borderId="115" xfId="0" applyNumberFormat="1" applyFont="1" applyFill="1" applyBorder="1"/>
    <xf numFmtId="0" fontId="33" fillId="6" borderId="0" xfId="0" applyFont="1" applyFill="1" applyAlignment="1">
      <alignment horizontal="left"/>
    </xf>
    <xf numFmtId="4" fontId="33" fillId="6" borderId="0" xfId="0" applyNumberFormat="1" applyFont="1" applyFill="1"/>
    <xf numFmtId="0" fontId="3" fillId="2" borderId="0" xfId="0" applyFont="1" applyFill="1" applyAlignment="1">
      <alignment vertical="center"/>
    </xf>
    <xf numFmtId="0" fontId="13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4" fontId="13" fillId="3" borderId="30" xfId="0" applyNumberFormat="1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horizontal="right" vertical="center"/>
    </xf>
    <xf numFmtId="0" fontId="13" fillId="3" borderId="31" xfId="0" applyFont="1" applyFill="1" applyBorder="1" applyAlignment="1">
      <alignment horizontal="left" vertical="center"/>
    </xf>
    <xf numFmtId="0" fontId="13" fillId="3" borderId="28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center" vertical="center"/>
    </xf>
    <xf numFmtId="0" fontId="18" fillId="0" borderId="9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5" fillId="0" borderId="138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139" xfId="0" applyFont="1" applyBorder="1" applyAlignment="1" applyProtection="1">
      <alignment horizontal="left"/>
      <protection locked="0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164" fontId="14" fillId="2" borderId="5" xfId="0" applyNumberFormat="1" applyFont="1" applyFill="1" applyBorder="1" applyAlignment="1" applyProtection="1">
      <alignment horizontal="center"/>
      <protection locked="0"/>
    </xf>
    <xf numFmtId="164" fontId="14" fillId="2" borderId="2" xfId="0" applyNumberFormat="1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Protection="1">
      <protection locked="0"/>
    </xf>
    <xf numFmtId="10" fontId="18" fillId="2" borderId="4" xfId="0" applyNumberFormat="1" applyFont="1" applyFill="1" applyBorder="1" applyAlignment="1" applyProtection="1">
      <alignment horizontal="center"/>
      <protection locked="0"/>
    </xf>
    <xf numFmtId="3" fontId="18" fillId="2" borderId="4" xfId="0" applyNumberFormat="1" applyFont="1" applyFill="1" applyBorder="1" applyProtection="1">
      <protection locked="0"/>
    </xf>
    <xf numFmtId="4" fontId="18" fillId="2" borderId="4" xfId="0" applyNumberFormat="1" applyFont="1" applyFill="1" applyBorder="1" applyProtection="1">
      <protection locked="0"/>
    </xf>
    <xf numFmtId="0" fontId="18" fillId="2" borderId="5" xfId="0" applyFont="1" applyFill="1" applyBorder="1" applyProtection="1">
      <protection locked="0"/>
    </xf>
    <xf numFmtId="10" fontId="18" fillId="2" borderId="5" xfId="0" applyNumberFormat="1" applyFont="1" applyFill="1" applyBorder="1" applyAlignment="1" applyProtection="1">
      <alignment horizontal="center"/>
      <protection locked="0"/>
    </xf>
    <xf numFmtId="3" fontId="18" fillId="2" borderId="5" xfId="0" applyNumberFormat="1" applyFont="1" applyFill="1" applyBorder="1" applyProtection="1">
      <protection locked="0"/>
    </xf>
    <xf numFmtId="4" fontId="18" fillId="2" borderId="5" xfId="0" applyNumberFormat="1" applyFont="1" applyFill="1" applyBorder="1" applyProtection="1">
      <protection locked="0"/>
    </xf>
    <xf numFmtId="4" fontId="7" fillId="2" borderId="42" xfId="0" applyNumberFormat="1" applyFont="1" applyFill="1" applyBorder="1" applyProtection="1">
      <protection locked="0"/>
    </xf>
    <xf numFmtId="4" fontId="7" fillId="2" borderId="29" xfId="0" applyNumberFormat="1" applyFont="1" applyFill="1" applyBorder="1" applyProtection="1"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4" fontId="7" fillId="2" borderId="72" xfId="0" applyNumberFormat="1" applyFont="1" applyFill="1" applyBorder="1" applyAlignment="1" applyProtection="1">
      <alignment vertical="center"/>
      <protection locked="0"/>
    </xf>
    <xf numFmtId="4" fontId="7" fillId="2" borderId="73" xfId="0" applyNumberFormat="1" applyFont="1" applyFill="1" applyBorder="1" applyAlignment="1" applyProtection="1">
      <alignment vertical="center"/>
      <protection locked="0"/>
    </xf>
    <xf numFmtId="10" fontId="7" fillId="2" borderId="69" xfId="131" applyNumberFormat="1" applyFont="1" applyFill="1" applyBorder="1" applyAlignment="1">
      <alignment vertical="center"/>
    </xf>
    <xf numFmtId="4" fontId="7" fillId="2" borderId="99" xfId="0" applyNumberFormat="1" applyFont="1" applyFill="1" applyBorder="1" applyAlignment="1" applyProtection="1">
      <alignment vertical="center"/>
      <protection locked="0"/>
    </xf>
    <xf numFmtId="4" fontId="7" fillId="2" borderId="66" xfId="0" applyNumberFormat="1" applyFont="1" applyFill="1" applyBorder="1" applyAlignment="1" applyProtection="1">
      <alignment vertical="center"/>
      <protection locked="0"/>
    </xf>
    <xf numFmtId="4" fontId="7" fillId="2" borderId="109" xfId="0" applyNumberFormat="1" applyFont="1" applyFill="1" applyBorder="1" applyAlignment="1" applyProtection="1">
      <alignment vertical="center"/>
      <protection locked="0"/>
    </xf>
    <xf numFmtId="4" fontId="7" fillId="2" borderId="85" xfId="0" applyNumberFormat="1" applyFont="1" applyFill="1" applyBorder="1" applyAlignment="1" applyProtection="1">
      <alignment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Protection="1">
      <protection locked="0"/>
    </xf>
    <xf numFmtId="0" fontId="14" fillId="2" borderId="4" xfId="0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10" fontId="18" fillId="2" borderId="4" xfId="0" applyNumberFormat="1" applyFont="1" applyFill="1" applyBorder="1" applyProtection="1">
      <protection locked="0"/>
    </xf>
    <xf numFmtId="10" fontId="18" fillId="2" borderId="5" xfId="0" applyNumberFormat="1" applyFont="1" applyFill="1" applyBorder="1" applyProtection="1">
      <protection locked="0"/>
    </xf>
    <xf numFmtId="4" fontId="7" fillId="2" borderId="86" xfId="0" applyNumberFormat="1" applyFont="1" applyFill="1" applyBorder="1" applyAlignment="1" applyProtection="1">
      <alignment vertical="center"/>
      <protection locked="0"/>
    </xf>
    <xf numFmtId="4" fontId="7" fillId="2" borderId="108" xfId="0" applyNumberFormat="1" applyFont="1" applyFill="1" applyBorder="1" applyAlignment="1">
      <alignment horizontal="right" vertical="center"/>
    </xf>
    <xf numFmtId="0" fontId="14" fillId="3" borderId="51" xfId="0" applyFont="1" applyFill="1" applyBorder="1" applyAlignment="1">
      <alignment vertical="center"/>
    </xf>
    <xf numFmtId="0" fontId="14" fillId="3" borderId="53" xfId="0" applyFont="1" applyFill="1" applyBorder="1" applyAlignment="1">
      <alignment vertical="center"/>
    </xf>
    <xf numFmtId="4" fontId="13" fillId="3" borderId="16" xfId="0" applyNumberFormat="1" applyFont="1" applyFill="1" applyBorder="1" applyAlignment="1">
      <alignment horizontal="right" vertical="center"/>
    </xf>
    <xf numFmtId="1" fontId="13" fillId="3" borderId="17" xfId="0" applyNumberFormat="1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left" vertical="center"/>
    </xf>
    <xf numFmtId="1" fontId="13" fillId="3" borderId="17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center"/>
    </xf>
    <xf numFmtId="0" fontId="10" fillId="3" borderId="56" xfId="0" applyFont="1" applyFill="1" applyBorder="1" applyAlignment="1">
      <alignment vertical="center"/>
    </xf>
    <xf numFmtId="0" fontId="19" fillId="3" borderId="19" xfId="0" applyFont="1" applyFill="1" applyBorder="1" applyAlignment="1">
      <alignment horizontal="center" vertical="center"/>
    </xf>
    <xf numFmtId="4" fontId="19" fillId="3" borderId="15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7" fillId="2" borderId="9" xfId="0" applyFont="1" applyFill="1" applyBorder="1" applyAlignment="1">
      <alignment horizontal="left"/>
    </xf>
    <xf numFmtId="0" fontId="37" fillId="2" borderId="57" xfId="0" applyFont="1" applyFill="1" applyBorder="1" applyAlignment="1">
      <alignment vertical="center"/>
    </xf>
    <xf numFmtId="0" fontId="37" fillId="2" borderId="59" xfId="0" applyFont="1" applyFill="1" applyBorder="1" applyAlignment="1">
      <alignment vertical="center"/>
    </xf>
    <xf numFmtId="4" fontId="37" fillId="2" borderId="71" xfId="0" applyNumberFormat="1" applyFont="1" applyFill="1" applyBorder="1" applyAlignment="1">
      <alignment vertical="center"/>
    </xf>
    <xf numFmtId="4" fontId="37" fillId="2" borderId="71" xfId="0" applyNumberFormat="1" applyFont="1" applyFill="1" applyBorder="1" applyAlignment="1">
      <alignment horizontal="left" vertical="center"/>
    </xf>
    <xf numFmtId="0" fontId="37" fillId="2" borderId="71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/>
    </xf>
    <xf numFmtId="0" fontId="37" fillId="2" borderId="0" xfId="0" applyFont="1" applyFill="1" applyAlignment="1">
      <alignment horizontal="left" vertical="center"/>
    </xf>
    <xf numFmtId="0" fontId="7" fillId="2" borderId="67" xfId="0" applyFont="1" applyFill="1" applyBorder="1" applyAlignment="1">
      <alignment vertical="center"/>
    </xf>
    <xf numFmtId="0" fontId="7" fillId="2" borderId="69" xfId="0" applyFont="1" applyFill="1" applyBorder="1" applyAlignment="1">
      <alignment vertical="center"/>
    </xf>
    <xf numFmtId="4" fontId="7" fillId="2" borderId="66" xfId="0" applyNumberFormat="1" applyFont="1" applyFill="1" applyBorder="1" applyAlignment="1">
      <alignment horizontal="left" vertical="center"/>
    </xf>
    <xf numFmtId="0" fontId="7" fillId="2" borderId="66" xfId="0" applyFont="1" applyFill="1" applyBorder="1" applyAlignment="1">
      <alignment horizontal="left" vertical="center"/>
    </xf>
    <xf numFmtId="4" fontId="19" fillId="3" borderId="70" xfId="0" applyNumberFormat="1" applyFont="1" applyFill="1" applyBorder="1" applyAlignment="1">
      <alignment horizontal="center" vertical="center"/>
    </xf>
    <xf numFmtId="1" fontId="10" fillId="3" borderId="74" xfId="0" applyNumberFormat="1" applyFont="1" applyFill="1" applyBorder="1" applyAlignment="1">
      <alignment horizontal="center" vertical="center"/>
    </xf>
    <xf numFmtId="4" fontId="7" fillId="2" borderId="67" xfId="0" applyNumberFormat="1" applyFont="1" applyFill="1" applyBorder="1" applyAlignment="1">
      <alignment horizontal="left" vertical="center"/>
    </xf>
    <xf numFmtId="4" fontId="7" fillId="2" borderId="68" xfId="0" applyNumberFormat="1" applyFont="1" applyFill="1" applyBorder="1" applyAlignment="1">
      <alignment horizontal="left" vertical="center"/>
    </xf>
    <xf numFmtId="4" fontId="7" fillId="2" borderId="16" xfId="0" applyNumberFormat="1" applyFont="1" applyFill="1" applyBorder="1" applyAlignment="1">
      <alignment horizontal="left" vertical="center"/>
    </xf>
    <xf numFmtId="4" fontId="7" fillId="2" borderId="17" xfId="0" applyNumberFormat="1" applyFont="1" applyFill="1" applyBorder="1" applyAlignment="1">
      <alignment horizontal="left" vertical="center"/>
    </xf>
    <xf numFmtId="4" fontId="7" fillId="2" borderId="18" xfId="0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 wrapText="1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2" borderId="9" xfId="0" applyFont="1" applyFill="1" applyBorder="1"/>
    <xf numFmtId="0" fontId="18" fillId="2" borderId="10" xfId="0" applyFont="1" applyFill="1" applyBorder="1"/>
    <xf numFmtId="0" fontId="18" fillId="2" borderId="0" xfId="0" applyFont="1" applyFill="1" applyAlignment="1">
      <alignment horizontal="center"/>
    </xf>
    <xf numFmtId="0" fontId="19" fillId="2" borderId="0" xfId="0" applyFont="1" applyFill="1"/>
    <xf numFmtId="0" fontId="4" fillId="2" borderId="0" xfId="0" applyFont="1" applyFill="1"/>
    <xf numFmtId="0" fontId="12" fillId="2" borderId="10" xfId="0" applyFont="1" applyFill="1" applyBorder="1"/>
    <xf numFmtId="0" fontId="24" fillId="2" borderId="1" xfId="0" applyFont="1" applyFill="1" applyBorder="1" applyAlignment="1">
      <alignment horizontal="lef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/>
    </xf>
    <xf numFmtId="0" fontId="38" fillId="2" borderId="0" xfId="0" applyFont="1" applyFill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18" fillId="2" borderId="10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15" fillId="6" borderId="1" xfId="0" applyFont="1" applyFill="1" applyBorder="1" applyAlignment="1">
      <alignment horizontal="left"/>
    </xf>
    <xf numFmtId="0" fontId="18" fillId="2" borderId="0" xfId="0" applyFont="1" applyFill="1" applyAlignment="1">
      <alignment horizontal="center" wrapText="1"/>
    </xf>
    <xf numFmtId="0" fontId="18" fillId="2" borderId="0" xfId="0" quotePrefix="1" applyFont="1" applyFill="1" applyAlignment="1">
      <alignment horizontal="left"/>
    </xf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13" xfId="0" applyFont="1" applyFill="1" applyBorder="1"/>
    <xf numFmtId="3" fontId="18" fillId="2" borderId="4" xfId="0" applyNumberFormat="1" applyFont="1" applyFill="1" applyBorder="1" applyAlignment="1" applyProtection="1">
      <alignment horizontal="center"/>
      <protection locked="0"/>
    </xf>
    <xf numFmtId="3" fontId="18" fillId="2" borderId="5" xfId="0" applyNumberFormat="1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quotePrefix="1" applyFont="1" applyFill="1" applyAlignment="1">
      <alignment vertical="center"/>
    </xf>
    <xf numFmtId="4" fontId="7" fillId="3" borderId="70" xfId="0" applyNumberFormat="1" applyFont="1" applyFill="1" applyBorder="1" applyAlignment="1">
      <alignment horizontal="center" vertical="center"/>
    </xf>
    <xf numFmtId="1" fontId="7" fillId="3" borderId="74" xfId="0" applyNumberFormat="1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3" borderId="32" xfId="0" quotePrefix="1" applyFont="1" applyFill="1" applyBorder="1" applyAlignment="1">
      <alignment horizontal="left" vertical="center"/>
    </xf>
    <xf numFmtId="0" fontId="41" fillId="2" borderId="95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4" fontId="7" fillId="2" borderId="71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Font="1" applyFill="1" applyBorder="1" applyAlignment="1" applyProtection="1">
      <alignment horizontal="left" vertical="center"/>
      <protection locked="0"/>
    </xf>
    <xf numFmtId="0" fontId="7" fillId="2" borderId="63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4" fontId="7" fillId="2" borderId="73" xfId="0" applyNumberFormat="1" applyFont="1" applyFill="1" applyBorder="1" applyAlignment="1" applyProtection="1">
      <alignment horizontal="left" vertical="center"/>
      <protection locked="0"/>
    </xf>
    <xf numFmtId="0" fontId="7" fillId="2" borderId="73" xfId="0" applyFont="1" applyFill="1" applyBorder="1" applyAlignment="1" applyProtection="1">
      <alignment horizontal="left" vertical="center"/>
      <protection locked="0"/>
    </xf>
    <xf numFmtId="4" fontId="7" fillId="2" borderId="71" xfId="0" applyNumberFormat="1" applyFont="1" applyFill="1" applyBorder="1" applyAlignment="1">
      <alignment horizontal="left" vertical="center"/>
    </xf>
    <xf numFmtId="0" fontId="7" fillId="2" borderId="71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vertical="center"/>
    </xf>
    <xf numFmtId="0" fontId="7" fillId="2" borderId="62" xfId="0" applyFont="1" applyFill="1" applyBorder="1" applyAlignment="1">
      <alignment vertical="center"/>
    </xf>
    <xf numFmtId="4" fontId="7" fillId="2" borderId="72" xfId="0" applyNumberFormat="1" applyFont="1" applyFill="1" applyBorder="1" applyAlignment="1">
      <alignment horizontal="left" vertical="center"/>
    </xf>
    <xf numFmtId="0" fontId="7" fillId="2" borderId="72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4" fontId="7" fillId="2" borderId="70" xfId="0" applyNumberFormat="1" applyFont="1" applyFill="1" applyBorder="1" applyAlignment="1" applyProtection="1">
      <alignment vertical="center"/>
      <protection locked="0"/>
    </xf>
    <xf numFmtId="4" fontId="7" fillId="2" borderId="70" xfId="0" applyNumberFormat="1" applyFont="1" applyFill="1" applyBorder="1" applyAlignment="1" applyProtection="1">
      <alignment horizontal="left" vertical="center"/>
      <protection locked="0"/>
    </xf>
    <xf numFmtId="0" fontId="7" fillId="2" borderId="70" xfId="0" applyFont="1" applyFill="1" applyBorder="1" applyAlignment="1" applyProtection="1">
      <alignment horizontal="left" vertical="center"/>
      <protection locked="0"/>
    </xf>
    <xf numFmtId="0" fontId="7" fillId="3" borderId="7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32" fillId="7" borderId="0" xfId="0" applyFont="1" applyFill="1" applyAlignment="1">
      <alignment vertical="center"/>
    </xf>
    <xf numFmtId="0" fontId="43" fillId="7" borderId="0" xfId="0" applyFont="1" applyFill="1" applyAlignment="1">
      <alignment vertical="center"/>
    </xf>
    <xf numFmtId="0" fontId="2" fillId="2" borderId="6" xfId="0" applyFont="1" applyFill="1" applyBorder="1"/>
    <xf numFmtId="0" fontId="29" fillId="2" borderId="94" xfId="0" applyFont="1" applyFill="1" applyBorder="1" applyAlignment="1" applyProtection="1">
      <alignment horizontal="left" vertical="center"/>
      <protection locked="0"/>
    </xf>
    <xf numFmtId="4" fontId="29" fillId="2" borderId="94" xfId="0" applyNumberFormat="1" applyFont="1" applyFill="1" applyBorder="1" applyAlignment="1" applyProtection="1">
      <alignment horizontal="left" vertical="center"/>
      <protection locked="0"/>
    </xf>
    <xf numFmtId="4" fontId="10" fillId="2" borderId="94" xfId="0" applyNumberFormat="1" applyFont="1" applyFill="1" applyBorder="1" applyAlignment="1" applyProtection="1">
      <alignment horizontal="left" vertical="center"/>
      <protection locked="0"/>
    </xf>
    <xf numFmtId="0" fontId="29" fillId="2" borderId="61" xfId="0" applyFont="1" applyFill="1" applyBorder="1" applyAlignment="1" applyProtection="1">
      <alignment horizontal="left" vertical="center"/>
      <protection locked="0"/>
    </xf>
    <xf numFmtId="4" fontId="29" fillId="2" borderId="61" xfId="0" applyNumberFormat="1" applyFont="1" applyFill="1" applyBorder="1" applyAlignment="1" applyProtection="1">
      <alignment horizontal="left" vertical="center"/>
      <protection locked="0"/>
    </xf>
    <xf numFmtId="4" fontId="10" fillId="2" borderId="61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6" fillId="3" borderId="70" xfId="132" applyFont="1" applyFill="1" applyBorder="1" applyAlignment="1">
      <alignment horizontal="center" vertical="center" wrapText="1"/>
    </xf>
    <xf numFmtId="0" fontId="26" fillId="3" borderId="15" xfId="132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26" fillId="3" borderId="74" xfId="132" applyFont="1" applyFill="1" applyBorder="1" applyAlignment="1">
      <alignment horizontal="center" vertical="center" wrapText="1"/>
    </xf>
    <xf numFmtId="0" fontId="29" fillId="2" borderId="0" xfId="0" applyFont="1" applyFill="1" applyAlignment="1" applyProtection="1">
      <alignment horizontal="left" vertical="center"/>
      <protection locked="0"/>
    </xf>
    <xf numFmtId="4" fontId="29" fillId="2" borderId="0" xfId="0" applyNumberFormat="1" applyFont="1" applyFill="1" applyAlignment="1" applyProtection="1">
      <alignment horizontal="left" vertical="center"/>
      <protection locked="0"/>
    </xf>
    <xf numFmtId="4" fontId="10" fillId="2" borderId="0" xfId="0" applyNumberFormat="1" applyFont="1" applyFill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29" fillId="2" borderId="0" xfId="0" quotePrefix="1" applyFont="1" applyFill="1" applyAlignment="1" applyProtection="1">
      <alignment horizontal="left" vertical="center"/>
      <protection locked="0"/>
    </xf>
    <xf numFmtId="3" fontId="27" fillId="2" borderId="0" xfId="0" applyNumberFormat="1" applyFont="1" applyFill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left"/>
    </xf>
    <xf numFmtId="0" fontId="29" fillId="0" borderId="0" xfId="0" quotePrefix="1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4" fontId="29" fillId="0" borderId="0" xfId="0" applyNumberFormat="1" applyFont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2" borderId="0" xfId="0" applyFont="1" applyFill="1" applyProtection="1">
      <protection locked="0"/>
    </xf>
    <xf numFmtId="0" fontId="15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" fillId="3" borderId="72" xfId="0" applyFont="1" applyFill="1" applyBorder="1" applyAlignment="1">
      <alignment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26" fillId="3" borderId="18" xfId="132" applyFont="1" applyFill="1" applyBorder="1" applyAlignment="1">
      <alignment horizontal="center" vertical="center" wrapText="1"/>
    </xf>
    <xf numFmtId="0" fontId="26" fillId="3" borderId="143" xfId="132" applyFont="1" applyFill="1" applyBorder="1" applyAlignment="1">
      <alignment horizontal="center" vertical="center" wrapText="1"/>
    </xf>
    <xf numFmtId="0" fontId="26" fillId="3" borderId="19" xfId="132" applyFont="1" applyFill="1" applyBorder="1" applyAlignment="1">
      <alignment horizontal="center" vertical="center" wrapText="1"/>
    </xf>
    <xf numFmtId="4" fontId="7" fillId="2" borderId="148" xfId="0" applyNumberFormat="1" applyFont="1" applyFill="1" applyBorder="1" applyAlignment="1" applyProtection="1">
      <alignment vertical="center"/>
      <protection locked="0"/>
    </xf>
    <xf numFmtId="4" fontId="46" fillId="3" borderId="142" xfId="0" applyNumberFormat="1" applyFont="1" applyFill="1" applyBorder="1" applyAlignment="1">
      <alignment vertical="center"/>
    </xf>
    <xf numFmtId="4" fontId="46" fillId="3" borderId="144" xfId="0" applyNumberFormat="1" applyFont="1" applyFill="1" applyBorder="1" applyAlignment="1">
      <alignment vertical="center"/>
    </xf>
    <xf numFmtId="4" fontId="46" fillId="3" borderId="69" xfId="0" applyNumberFormat="1" applyFont="1" applyFill="1" applyBorder="1" applyAlignment="1">
      <alignment vertical="center"/>
    </xf>
    <xf numFmtId="0" fontId="26" fillId="3" borderId="161" xfId="132" applyFont="1" applyFill="1" applyBorder="1" applyAlignment="1">
      <alignment horizontal="center" vertical="center" wrapText="1"/>
    </xf>
    <xf numFmtId="0" fontId="26" fillId="3" borderId="55" xfId="132" applyFont="1" applyFill="1" applyBorder="1" applyAlignment="1">
      <alignment horizontal="center" vertical="center" wrapText="1"/>
    </xf>
    <xf numFmtId="4" fontId="14" fillId="2" borderId="98" xfId="0" applyNumberFormat="1" applyFont="1" applyFill="1" applyBorder="1" applyAlignment="1" applyProtection="1">
      <alignment horizontal="right" vertical="center"/>
      <protection locked="0"/>
    </xf>
    <xf numFmtId="4" fontId="13" fillId="2" borderId="98" xfId="0" applyNumberFormat="1" applyFont="1" applyFill="1" applyBorder="1" applyAlignment="1" applyProtection="1">
      <alignment horizontal="right" vertical="center"/>
      <protection locked="0"/>
    </xf>
    <xf numFmtId="4" fontId="7" fillId="2" borderId="98" xfId="0" applyNumberFormat="1" applyFont="1" applyFill="1" applyBorder="1" applyAlignment="1" applyProtection="1">
      <alignment horizontal="right" vertical="center"/>
      <protection locked="0"/>
    </xf>
    <xf numFmtId="4" fontId="7" fillId="0" borderId="71" xfId="0" applyNumberFormat="1" applyFont="1" applyBorder="1" applyAlignment="1" applyProtection="1">
      <alignment vertical="center"/>
      <protection locked="0"/>
    </xf>
    <xf numFmtId="4" fontId="13" fillId="12" borderId="98" xfId="0" applyNumberFormat="1" applyFont="1" applyFill="1" applyBorder="1" applyAlignment="1" applyProtection="1">
      <alignment horizontal="right" vertical="center"/>
      <protection locked="0"/>
    </xf>
    <xf numFmtId="0" fontId="1" fillId="2" borderId="9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/>
    <xf numFmtId="0" fontId="41" fillId="2" borderId="0" xfId="0" applyFont="1" applyFill="1"/>
    <xf numFmtId="0" fontId="41" fillId="2" borderId="0" xfId="0" applyFont="1" applyFill="1" applyAlignment="1">
      <alignment vertical="center"/>
    </xf>
    <xf numFmtId="0" fontId="40" fillId="2" borderId="0" xfId="0" applyFont="1" applyFill="1"/>
    <xf numFmtId="0" fontId="14" fillId="2" borderId="0" xfId="0" applyFont="1" applyFill="1" applyAlignment="1">
      <alignment horizontal="center"/>
    </xf>
    <xf numFmtId="4" fontId="7" fillId="0" borderId="144" xfId="0" applyNumberFormat="1" applyFont="1" applyBorder="1" applyAlignment="1">
      <alignment vertical="center"/>
    </xf>
    <xf numFmtId="4" fontId="7" fillId="2" borderId="155" xfId="0" applyNumberFormat="1" applyFont="1" applyFill="1" applyBorder="1" applyAlignment="1">
      <alignment vertical="center"/>
    </xf>
    <xf numFmtId="0" fontId="1" fillId="2" borderId="57" xfId="0" applyFont="1" applyFill="1" applyBorder="1" applyAlignment="1" applyProtection="1">
      <alignment vertical="center"/>
      <protection locked="0"/>
    </xf>
    <xf numFmtId="0" fontId="13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81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4" fontId="7" fillId="3" borderId="95" xfId="0" applyNumberFormat="1" applyFont="1" applyFill="1" applyBorder="1" applyAlignment="1">
      <alignment horizontal="right" vertical="center"/>
    </xf>
    <xf numFmtId="4" fontId="7" fillId="3" borderId="72" xfId="0" applyNumberFormat="1" applyFont="1" applyFill="1" applyBorder="1" applyAlignment="1">
      <alignment horizontal="right" vertical="center"/>
    </xf>
    <xf numFmtId="4" fontId="7" fillId="3" borderId="73" xfId="0" applyNumberFormat="1" applyFont="1" applyFill="1" applyBorder="1" applyAlignment="1">
      <alignment horizontal="right" vertical="center"/>
    </xf>
    <xf numFmtId="4" fontId="7" fillId="3" borderId="85" xfId="0" applyNumberFormat="1" applyFont="1" applyFill="1" applyBorder="1" applyAlignment="1">
      <alignment vertical="center"/>
    </xf>
    <xf numFmtId="4" fontId="7" fillId="3" borderId="71" xfId="0" applyNumberFormat="1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left" vertical="center"/>
    </xf>
    <xf numFmtId="4" fontId="19" fillId="2" borderId="0" xfId="0" applyNumberFormat="1" applyFont="1" applyFill="1" applyAlignment="1">
      <alignment vertical="center"/>
    </xf>
    <xf numFmtId="0" fontId="18" fillId="2" borderId="0" xfId="0" quotePrefix="1" applyFont="1" applyFill="1" applyAlignment="1">
      <alignment horizontal="left" vertical="center"/>
    </xf>
    <xf numFmtId="4" fontId="18" fillId="2" borderId="0" xfId="0" applyNumberFormat="1" applyFont="1" applyFill="1" applyAlignment="1">
      <alignment horizontal="left" vertical="center"/>
    </xf>
    <xf numFmtId="4" fontId="1" fillId="2" borderId="95" xfId="0" applyNumberFormat="1" applyFont="1" applyFill="1" applyBorder="1" applyAlignment="1" applyProtection="1">
      <alignment horizontal="right" vertical="center"/>
      <protection locked="0"/>
    </xf>
    <xf numFmtId="4" fontId="18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4" fontId="18" fillId="2" borderId="6" xfId="0" applyNumberFormat="1" applyFont="1" applyFill="1" applyBorder="1" applyAlignment="1">
      <alignment horizontal="left"/>
    </xf>
    <xf numFmtId="4" fontId="18" fillId="2" borderId="7" xfId="0" applyNumberFormat="1" applyFont="1" applyFill="1" applyBorder="1" applyAlignment="1">
      <alignment horizontal="right"/>
    </xf>
    <xf numFmtId="4" fontId="18" fillId="2" borderId="8" xfId="0" applyNumberFormat="1" applyFont="1" applyFill="1" applyBorder="1" applyAlignment="1">
      <alignment horizontal="left"/>
    </xf>
    <xf numFmtId="4" fontId="18" fillId="2" borderId="9" xfId="0" applyNumberFormat="1" applyFont="1" applyFill="1" applyBorder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18" fillId="2" borderId="10" xfId="0" applyNumberFormat="1" applyFont="1" applyFill="1" applyBorder="1" applyAlignment="1">
      <alignment horizontal="left"/>
    </xf>
    <xf numFmtId="4" fontId="19" fillId="2" borderId="0" xfId="0" applyNumberFormat="1" applyFont="1" applyFill="1" applyAlignment="1">
      <alignment horizontal="left"/>
    </xf>
    <xf numFmtId="4" fontId="1" fillId="2" borderId="9" xfId="0" applyNumberFormat="1" applyFont="1" applyFill="1" applyBorder="1" applyAlignment="1">
      <alignment horizontal="left"/>
    </xf>
    <xf numFmtId="4" fontId="7" fillId="4" borderId="0" xfId="0" applyNumberFormat="1" applyFont="1" applyFill="1" applyAlignment="1">
      <alignment horizontal="left" vertical="center"/>
    </xf>
    <xf numFmtId="4" fontId="1" fillId="2" borderId="10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12" fillId="2" borderId="9" xfId="0" applyNumberFormat="1" applyFont="1" applyFill="1" applyBorder="1" applyAlignment="1">
      <alignment horizontal="left"/>
    </xf>
    <xf numFmtId="4" fontId="10" fillId="5" borderId="0" xfId="0" applyNumberFormat="1" applyFont="1" applyFill="1" applyAlignment="1">
      <alignment horizontal="right" vertical="center"/>
    </xf>
    <xf numFmtId="4" fontId="12" fillId="2" borderId="10" xfId="0" applyNumberFormat="1" applyFont="1" applyFill="1" applyBorder="1" applyAlignment="1">
      <alignment horizontal="left"/>
    </xf>
    <xf numFmtId="4" fontId="14" fillId="2" borderId="9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center" vertical="center"/>
    </xf>
    <xf numFmtId="4" fontId="47" fillId="2" borderId="9" xfId="0" applyNumberFormat="1" applyFont="1" applyFill="1" applyBorder="1" applyAlignment="1">
      <alignment horizontal="left" vertical="center"/>
    </xf>
    <xf numFmtId="4" fontId="10" fillId="3" borderId="18" xfId="0" applyNumberFormat="1" applyFont="1" applyFill="1" applyBorder="1" applyAlignment="1">
      <alignment horizontal="right" vertical="center"/>
    </xf>
    <xf numFmtId="4" fontId="47" fillId="2" borderId="10" xfId="0" applyNumberFormat="1" applyFont="1" applyFill="1" applyBorder="1" applyAlignment="1">
      <alignment horizontal="left" vertical="center"/>
    </xf>
    <xf numFmtId="4" fontId="47" fillId="2" borderId="0" xfId="0" applyNumberFormat="1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4" fontId="10" fillId="2" borderId="9" xfId="0" applyNumberFormat="1" applyFont="1" applyFill="1" applyBorder="1" applyAlignment="1">
      <alignment horizontal="left"/>
    </xf>
    <xf numFmtId="4" fontId="10" fillId="2" borderId="16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horizontal="left"/>
    </xf>
    <xf numFmtId="4" fontId="10" fillId="2" borderId="0" xfId="0" applyNumberFormat="1" applyFont="1" applyFill="1" applyAlignment="1">
      <alignment horizontal="left"/>
    </xf>
    <xf numFmtId="4" fontId="48" fillId="2" borderId="93" xfId="0" applyNumberFormat="1" applyFont="1" applyFill="1" applyBorder="1" applyAlignment="1">
      <alignment horizontal="center" vertical="center"/>
    </xf>
    <xf numFmtId="4" fontId="49" fillId="2" borderId="98" xfId="0" applyNumberFormat="1" applyFont="1" applyFill="1" applyBorder="1" applyAlignment="1">
      <alignment horizontal="left" vertical="center"/>
    </xf>
    <xf numFmtId="4" fontId="49" fillId="2" borderId="98" xfId="0" applyNumberFormat="1" applyFont="1" applyFill="1" applyBorder="1" applyAlignment="1">
      <alignment horizontal="right" vertical="center"/>
    </xf>
    <xf numFmtId="4" fontId="49" fillId="3" borderId="98" xfId="0" applyNumberFormat="1" applyFont="1" applyFill="1" applyBorder="1" applyAlignment="1">
      <alignment horizontal="right" vertical="center"/>
    </xf>
    <xf numFmtId="4" fontId="14" fillId="2" borderId="95" xfId="0" applyNumberFormat="1" applyFont="1" applyFill="1" applyBorder="1" applyAlignment="1">
      <alignment vertical="center"/>
    </xf>
    <xf numFmtId="4" fontId="14" fillId="2" borderId="10" xfId="0" applyNumberFormat="1" applyFont="1" applyFill="1" applyBorder="1" applyAlignment="1">
      <alignment horizontal="left"/>
    </xf>
    <xf numFmtId="4" fontId="30" fillId="2" borderId="0" xfId="0" applyNumberFormat="1" applyFont="1" applyFill="1" applyAlignment="1">
      <alignment horizontal="left"/>
    </xf>
    <xf numFmtId="4" fontId="48" fillId="2" borderId="57" xfId="0" applyNumberFormat="1" applyFont="1" applyFill="1" applyBorder="1" applyAlignment="1">
      <alignment horizontal="center" vertical="center"/>
    </xf>
    <xf numFmtId="4" fontId="49" fillId="2" borderId="59" xfId="0" applyNumberFormat="1" applyFont="1" applyFill="1" applyBorder="1" applyAlignment="1">
      <alignment horizontal="left" vertical="center"/>
    </xf>
    <xf numFmtId="4" fontId="49" fillId="2" borderId="59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left"/>
    </xf>
    <xf numFmtId="4" fontId="7" fillId="2" borderId="10" xfId="0" applyNumberFormat="1" applyFont="1" applyFill="1" applyBorder="1" applyAlignment="1">
      <alignment horizontal="left"/>
    </xf>
    <xf numFmtId="4" fontId="12" fillId="2" borderId="9" xfId="0" applyNumberFormat="1" applyFont="1" applyFill="1" applyBorder="1" applyAlignment="1">
      <alignment vertical="center"/>
    </xf>
    <xf numFmtId="4" fontId="10" fillId="3" borderId="18" xfId="0" applyNumberFormat="1" applyFont="1" applyFill="1" applyBorder="1" applyAlignment="1">
      <alignment vertical="center"/>
    </xf>
    <xf numFmtId="4" fontId="12" fillId="2" borderId="10" xfId="0" applyNumberFormat="1" applyFont="1" applyFill="1" applyBorder="1" applyAlignment="1">
      <alignment vertical="center"/>
    </xf>
    <xf numFmtId="4" fontId="12" fillId="2" borderId="0" xfId="0" applyNumberFormat="1" applyFont="1" applyFill="1" applyAlignment="1">
      <alignment vertical="center"/>
    </xf>
    <xf numFmtId="4" fontId="50" fillId="2" borderId="98" xfId="0" applyNumberFormat="1" applyFont="1" applyFill="1" applyBorder="1" applyAlignment="1">
      <alignment horizontal="left" vertical="center"/>
    </xf>
    <xf numFmtId="4" fontId="14" fillId="2" borderId="98" xfId="0" applyNumberFormat="1" applyFont="1" applyFill="1" applyBorder="1" applyAlignment="1">
      <alignment horizontal="right" vertical="center"/>
    </xf>
    <xf numFmtId="4" fontId="59" fillId="2" borderId="0" xfId="0" applyNumberFormat="1" applyFont="1" applyFill="1" applyAlignment="1">
      <alignment horizontal="left"/>
    </xf>
    <xf numFmtId="4" fontId="13" fillId="2" borderId="9" xfId="0" applyNumberFormat="1" applyFont="1" applyFill="1" applyBorder="1" applyAlignment="1">
      <alignment horizontal="left"/>
    </xf>
    <xf numFmtId="4" fontId="13" fillId="3" borderId="98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>
      <alignment horizontal="left"/>
    </xf>
    <xf numFmtId="4" fontId="13" fillId="2" borderId="0" xfId="0" applyNumberFormat="1" applyFont="1" applyFill="1" applyAlignment="1">
      <alignment horizontal="left"/>
    </xf>
    <xf numFmtId="4" fontId="12" fillId="2" borderId="9" xfId="0" applyNumberFormat="1" applyFont="1" applyFill="1" applyBorder="1" applyAlignment="1">
      <alignment horizontal="left" vertical="center"/>
    </xf>
    <xf numFmtId="4" fontId="12" fillId="2" borderId="10" xfId="0" applyNumberFormat="1" applyFont="1" applyFill="1" applyBorder="1" applyAlignment="1">
      <alignment horizontal="left" vertical="center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right" vertical="center"/>
    </xf>
    <xf numFmtId="4" fontId="14" fillId="3" borderId="98" xfId="0" applyNumberFormat="1" applyFont="1" applyFill="1" applyBorder="1" applyAlignment="1">
      <alignment horizontal="right" vertical="center"/>
    </xf>
    <xf numFmtId="4" fontId="50" fillId="2" borderId="98" xfId="0" applyNumberFormat="1" applyFont="1" applyFill="1" applyBorder="1" applyAlignment="1">
      <alignment horizontal="right" vertical="center"/>
    </xf>
    <xf numFmtId="4" fontId="48" fillId="2" borderId="0" xfId="0" applyNumberFormat="1" applyFont="1" applyFill="1" applyAlignment="1">
      <alignment horizontal="left"/>
    </xf>
    <xf numFmtId="4" fontId="7" fillId="2" borderId="63" xfId="0" applyNumberFormat="1" applyFont="1" applyFill="1" applyBorder="1" applyAlignment="1">
      <alignment horizontal="center" vertical="center"/>
    </xf>
    <xf numFmtId="4" fontId="7" fillId="2" borderId="65" xfId="0" applyNumberFormat="1" applyFont="1" applyFill="1" applyBorder="1" applyAlignment="1">
      <alignment horizontal="left" vertical="center"/>
    </xf>
    <xf numFmtId="4" fontId="7" fillId="2" borderId="65" xfId="0" applyNumberFormat="1" applyFont="1" applyFill="1" applyBorder="1" applyAlignment="1">
      <alignment horizontal="right" vertical="center"/>
    </xf>
    <xf numFmtId="4" fontId="51" fillId="2" borderId="98" xfId="0" applyNumberFormat="1" applyFont="1" applyFill="1" applyBorder="1" applyAlignment="1">
      <alignment horizontal="right" vertical="center"/>
    </xf>
    <xf numFmtId="4" fontId="51" fillId="12" borderId="98" xfId="0" applyNumberFormat="1" applyFont="1" applyFill="1" applyBorder="1" applyAlignment="1">
      <alignment horizontal="right" vertical="center"/>
    </xf>
    <xf numFmtId="4" fontId="13" fillId="12" borderId="98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vertical="center"/>
    </xf>
    <xf numFmtId="4" fontId="21" fillId="2" borderId="9" xfId="0" applyNumberFormat="1" applyFont="1" applyFill="1" applyBorder="1" applyAlignment="1">
      <alignment horizontal="left"/>
    </xf>
    <xf numFmtId="4" fontId="52" fillId="8" borderId="115" xfId="0" applyNumberFormat="1" applyFont="1" applyFill="1" applyBorder="1" applyAlignment="1">
      <alignment horizontal="right"/>
    </xf>
    <xf numFmtId="4" fontId="21" fillId="2" borderId="10" xfId="0" applyNumberFormat="1" applyFont="1" applyFill="1" applyBorder="1" applyAlignment="1">
      <alignment horizontal="left"/>
    </xf>
    <xf numFmtId="4" fontId="21" fillId="2" borderId="0" xfId="0" applyNumberFormat="1" applyFont="1" applyFill="1" applyAlignment="1">
      <alignment horizontal="left"/>
    </xf>
    <xf numFmtId="4" fontId="10" fillId="9" borderId="18" xfId="0" applyNumberFormat="1" applyFont="1" applyFill="1" applyBorder="1" applyAlignment="1">
      <alignment horizontal="right" vertical="center"/>
    </xf>
    <xf numFmtId="4" fontId="48" fillId="2" borderId="0" xfId="0" applyNumberFormat="1" applyFont="1" applyFill="1" applyAlignment="1">
      <alignment horizontal="center" vertical="center"/>
    </xf>
    <xf numFmtId="4" fontId="1" fillId="2" borderId="9" xfId="0" applyNumberFormat="1" applyFont="1" applyFill="1" applyBorder="1" applyAlignment="1">
      <alignment horizontal="left" vertical="center"/>
    </xf>
    <xf numFmtId="4" fontId="33" fillId="10" borderId="115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left" vertical="center"/>
    </xf>
    <xf numFmtId="4" fontId="23" fillId="2" borderId="0" xfId="0" applyNumberFormat="1" applyFont="1" applyFill="1" applyAlignment="1">
      <alignment horizontal="right" vertical="center"/>
    </xf>
    <xf numFmtId="4" fontId="33" fillId="6" borderId="0" xfId="0" applyNumberFormat="1" applyFont="1" applyFill="1" applyAlignment="1">
      <alignment horizontal="left"/>
    </xf>
    <xf numFmtId="4" fontId="33" fillId="6" borderId="0" xfId="0" applyNumberFormat="1" applyFont="1" applyFill="1" applyAlignment="1">
      <alignment horizontal="right"/>
    </xf>
    <xf numFmtId="4" fontId="11" fillId="3" borderId="18" xfId="0" applyNumberFormat="1" applyFont="1" applyFill="1" applyBorder="1" applyAlignment="1">
      <alignment horizontal="right" vertical="center"/>
    </xf>
    <xf numFmtId="4" fontId="11" fillId="3" borderId="15" xfId="0" applyNumberFormat="1" applyFont="1" applyFill="1" applyBorder="1" applyAlignment="1">
      <alignment horizontal="center" vertical="center"/>
    </xf>
    <xf numFmtId="4" fontId="10" fillId="2" borderId="63" xfId="0" applyNumberFormat="1" applyFont="1" applyFill="1" applyBorder="1" applyAlignment="1">
      <alignment horizontal="center" vertical="center"/>
    </xf>
    <xf numFmtId="4" fontId="10" fillId="2" borderId="65" xfId="0" applyNumberFormat="1" applyFont="1" applyFill="1" applyBorder="1" applyAlignment="1">
      <alignment horizontal="left" vertical="center"/>
    </xf>
    <xf numFmtId="4" fontId="10" fillId="2" borderId="65" xfId="0" applyNumberFormat="1" applyFont="1" applyFill="1" applyBorder="1" applyAlignment="1">
      <alignment horizontal="right" vertical="center"/>
    </xf>
    <xf numFmtId="4" fontId="54" fillId="2" borderId="9" xfId="0" applyNumberFormat="1" applyFont="1" applyFill="1" applyBorder="1" applyAlignment="1">
      <alignment horizontal="left"/>
    </xf>
    <xf numFmtId="4" fontId="55" fillId="2" borderId="93" xfId="0" applyNumberFormat="1" applyFont="1" applyFill="1" applyBorder="1" applyAlignment="1">
      <alignment horizontal="center" vertical="center"/>
    </xf>
    <xf numFmtId="4" fontId="55" fillId="2" borderId="98" xfId="0" applyNumberFormat="1" applyFont="1" applyFill="1" applyBorder="1" applyAlignment="1">
      <alignment horizontal="left" vertical="center"/>
    </xf>
    <xf numFmtId="4" fontId="55" fillId="3" borderId="98" xfId="0" applyNumberFormat="1" applyFont="1" applyFill="1" applyBorder="1" applyAlignment="1">
      <alignment horizontal="right" vertical="center"/>
    </xf>
    <xf numFmtId="4" fontId="54" fillId="2" borderId="10" xfId="0" applyNumberFormat="1" applyFont="1" applyFill="1" applyBorder="1" applyAlignment="1">
      <alignment horizontal="left"/>
    </xf>
    <xf numFmtId="4" fontId="54" fillId="2" borderId="0" xfId="0" applyNumberFormat="1" applyFont="1" applyFill="1" applyAlignment="1">
      <alignment horizontal="left"/>
    </xf>
    <xf numFmtId="4" fontId="49" fillId="3" borderId="55" xfId="0" applyNumberFormat="1" applyFont="1" applyFill="1" applyBorder="1" applyAlignment="1">
      <alignment horizontal="right" vertical="center"/>
    </xf>
    <xf numFmtId="4" fontId="30" fillId="6" borderId="0" xfId="0" applyNumberFormat="1" applyFont="1" applyFill="1" applyAlignment="1">
      <alignment horizontal="left"/>
    </xf>
    <xf numFmtId="4" fontId="33" fillId="8" borderId="115" xfId="0" applyNumberFormat="1" applyFont="1" applyFill="1" applyBorder="1" applyAlignment="1">
      <alignment horizontal="right" vertical="center"/>
    </xf>
    <xf numFmtId="4" fontId="10" fillId="3" borderId="116" xfId="0" applyNumberFormat="1" applyFont="1" applyFill="1" applyBorder="1" applyAlignment="1">
      <alignment vertical="center"/>
    </xf>
    <xf numFmtId="4" fontId="12" fillId="3" borderId="117" xfId="0" applyNumberFormat="1" applyFont="1" applyFill="1" applyBorder="1" applyAlignment="1">
      <alignment horizontal="center" vertical="center"/>
    </xf>
    <xf numFmtId="4" fontId="10" fillId="3" borderId="117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vertical="center"/>
    </xf>
    <xf numFmtId="4" fontId="7" fillId="11" borderId="18" xfId="0" applyNumberFormat="1" applyFont="1" applyFill="1" applyBorder="1" applyAlignment="1">
      <alignment vertical="center"/>
    </xf>
    <xf numFmtId="4" fontId="7" fillId="11" borderId="18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vertical="center"/>
    </xf>
    <xf numFmtId="4" fontId="48" fillId="2" borderId="56" xfId="0" applyNumberFormat="1" applyFont="1" applyFill="1" applyBorder="1" applyAlignment="1">
      <alignment horizontal="center" vertical="center"/>
    </xf>
    <xf numFmtId="4" fontId="49" fillId="2" borderId="19" xfId="0" applyNumberFormat="1" applyFont="1" applyFill="1" applyBorder="1" applyAlignment="1">
      <alignment horizontal="left" vertical="center"/>
    </xf>
    <xf numFmtId="4" fontId="49" fillId="3" borderId="19" xfId="0" applyNumberFormat="1" applyFont="1" applyFill="1" applyBorder="1" applyAlignment="1">
      <alignment horizontal="right" vertical="center"/>
    </xf>
    <xf numFmtId="4" fontId="14" fillId="2" borderId="73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horizontal="left" vertical="center"/>
    </xf>
    <xf numFmtId="4" fontId="33" fillId="2" borderId="0" xfId="0" applyNumberFormat="1" applyFont="1" applyFill="1" applyAlignment="1">
      <alignment horizontal="left" vertical="center"/>
    </xf>
    <xf numFmtId="4" fontId="33" fillId="2" borderId="0" xfId="0" applyNumberFormat="1" applyFont="1" applyFill="1" applyAlignment="1">
      <alignment horizontal="right" vertical="center"/>
    </xf>
    <xf numFmtId="4" fontId="53" fillId="2" borderId="0" xfId="0" applyNumberFormat="1" applyFont="1" applyFill="1" applyAlignment="1">
      <alignment horizontal="right" vertical="center"/>
    </xf>
    <xf numFmtId="4" fontId="14" fillId="2" borderId="0" xfId="0" applyNumberFormat="1" applyFont="1" applyFill="1" applyAlignment="1">
      <alignment vertical="center"/>
    </xf>
    <xf numFmtId="4" fontId="10" fillId="11" borderId="18" xfId="0" applyNumberFormat="1" applyFont="1" applyFill="1" applyBorder="1" applyAlignment="1">
      <alignment horizontal="right" vertical="center"/>
    </xf>
    <xf numFmtId="4" fontId="57" fillId="2" borderId="71" xfId="0" applyNumberFormat="1" applyFont="1" applyFill="1" applyBorder="1" applyAlignment="1">
      <alignment horizontal="left" vertical="center"/>
    </xf>
    <xf numFmtId="4" fontId="49" fillId="3" borderId="94" xfId="0" applyNumberFormat="1" applyFont="1" applyFill="1" applyBorder="1" applyAlignment="1">
      <alignment horizontal="right" vertical="center"/>
    </xf>
    <xf numFmtId="4" fontId="57" fillId="2" borderId="95" xfId="0" applyNumberFormat="1" applyFont="1" applyFill="1" applyBorder="1" applyAlignment="1">
      <alignment horizontal="left" vertical="center"/>
    </xf>
    <xf numFmtId="4" fontId="57" fillId="2" borderId="98" xfId="0" applyNumberFormat="1" applyFont="1" applyFill="1" applyBorder="1" applyAlignment="1">
      <alignment horizontal="right" vertical="center"/>
    </xf>
    <xf numFmtId="4" fontId="13" fillId="2" borderId="95" xfId="0" applyNumberFormat="1" applyFont="1" applyFill="1" applyBorder="1" applyAlignment="1">
      <alignment vertical="center"/>
    </xf>
    <xf numFmtId="4" fontId="49" fillId="3" borderId="141" xfId="0" applyNumberFormat="1" applyFont="1" applyFill="1" applyBorder="1" applyAlignment="1">
      <alignment horizontal="right" vertical="center"/>
    </xf>
    <xf numFmtId="4" fontId="56" fillId="2" borderId="141" xfId="0" applyNumberFormat="1" applyFont="1" applyFill="1" applyBorder="1" applyAlignment="1">
      <alignment horizontal="right" vertical="center"/>
    </xf>
    <xf numFmtId="4" fontId="18" fillId="2" borderId="11" xfId="0" applyNumberFormat="1" applyFont="1" applyFill="1" applyBorder="1" applyAlignment="1">
      <alignment horizontal="left"/>
    </xf>
    <xf numFmtId="4" fontId="18" fillId="2" borderId="12" xfId="0" applyNumberFormat="1" applyFont="1" applyFill="1" applyBorder="1" applyAlignment="1">
      <alignment horizontal="right"/>
    </xf>
    <xf numFmtId="4" fontId="18" fillId="2" borderId="13" xfId="0" applyNumberFormat="1" applyFont="1" applyFill="1" applyBorder="1" applyAlignment="1">
      <alignment horizontal="left"/>
    </xf>
    <xf numFmtId="4" fontId="15" fillId="2" borderId="0" xfId="0" applyNumberFormat="1" applyFont="1" applyFill="1" applyAlignment="1">
      <alignment horizontal="left"/>
    </xf>
    <xf numFmtId="4" fontId="20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19" fillId="2" borderId="0" xfId="0" applyNumberFormat="1" applyFont="1" applyFill="1" applyAlignment="1">
      <alignment horizontal="right"/>
    </xf>
    <xf numFmtId="4" fontId="49" fillId="2" borderId="98" xfId="0" applyNumberFormat="1" applyFont="1" applyFill="1" applyBorder="1" applyAlignment="1" applyProtection="1">
      <alignment horizontal="right" vertical="center"/>
      <protection locked="0"/>
    </xf>
    <xf numFmtId="4" fontId="49" fillId="2" borderId="55" xfId="0" applyNumberFormat="1" applyFont="1" applyFill="1" applyBorder="1" applyAlignment="1" applyProtection="1">
      <alignment horizontal="right" vertical="center"/>
      <protection locked="0"/>
    </xf>
    <xf numFmtId="4" fontId="49" fillId="2" borderId="59" xfId="0" applyNumberFormat="1" applyFont="1" applyFill="1" applyBorder="1" applyAlignment="1" applyProtection="1">
      <alignment horizontal="right" vertical="center"/>
      <protection locked="0"/>
    </xf>
    <xf numFmtId="4" fontId="50" fillId="2" borderId="98" xfId="0" applyNumberFormat="1" applyFont="1" applyFill="1" applyBorder="1" applyAlignment="1" applyProtection="1">
      <alignment horizontal="right" vertical="center"/>
      <protection locked="0"/>
    </xf>
    <xf numFmtId="4" fontId="51" fillId="2" borderId="98" xfId="0" applyNumberFormat="1" applyFont="1" applyFill="1" applyBorder="1" applyAlignment="1" applyProtection="1">
      <alignment horizontal="right" vertical="center"/>
      <protection locked="0"/>
    </xf>
    <xf numFmtId="4" fontId="50" fillId="2" borderId="55" xfId="0" applyNumberFormat="1" applyFont="1" applyFill="1" applyBorder="1" applyAlignment="1" applyProtection="1">
      <alignment horizontal="right" vertical="center"/>
      <protection locked="0"/>
    </xf>
    <xf numFmtId="4" fontId="51" fillId="2" borderId="55" xfId="0" applyNumberFormat="1" applyFont="1" applyFill="1" applyBorder="1" applyAlignment="1" applyProtection="1">
      <alignment horizontal="right" vertical="center"/>
      <protection locked="0"/>
    </xf>
    <xf numFmtId="4" fontId="51" fillId="12" borderId="98" xfId="0" applyNumberFormat="1" applyFont="1" applyFill="1" applyBorder="1" applyAlignment="1" applyProtection="1">
      <alignment horizontal="right" vertical="center"/>
      <protection locked="0"/>
    </xf>
    <xf numFmtId="4" fontId="50" fillId="2" borderId="141" xfId="0" applyNumberFormat="1" applyFont="1" applyFill="1" applyBorder="1" applyAlignment="1" applyProtection="1">
      <alignment horizontal="right" vertical="center"/>
      <protection locked="0"/>
    </xf>
    <xf numFmtId="4" fontId="48" fillId="2" borderId="93" xfId="0" applyNumberFormat="1" applyFont="1" applyFill="1" applyBorder="1" applyAlignment="1" applyProtection="1">
      <alignment horizontal="center" vertical="center"/>
      <protection locked="0"/>
    </xf>
    <xf numFmtId="4" fontId="50" fillId="2" borderId="98" xfId="0" applyNumberFormat="1" applyFont="1" applyFill="1" applyBorder="1" applyAlignment="1" applyProtection="1">
      <alignment horizontal="left" vertical="center"/>
      <protection locked="0"/>
    </xf>
    <xf numFmtId="4" fontId="48" fillId="2" borderId="54" xfId="0" applyNumberFormat="1" applyFont="1" applyFill="1" applyBorder="1" applyAlignment="1" applyProtection="1">
      <alignment horizontal="center" vertical="center"/>
      <protection locked="0"/>
    </xf>
    <xf numFmtId="4" fontId="48" fillId="2" borderId="140" xfId="0" applyNumberFormat="1" applyFont="1" applyFill="1" applyBorder="1" applyAlignment="1" applyProtection="1">
      <alignment horizontal="center" vertical="center"/>
      <protection locked="0"/>
    </xf>
    <xf numFmtId="4" fontId="50" fillId="2" borderId="141" xfId="0" applyNumberFormat="1" applyFont="1" applyFill="1" applyBorder="1" applyAlignment="1" applyProtection="1">
      <alignment horizontal="left" vertical="center"/>
      <protection locked="0"/>
    </xf>
    <xf numFmtId="4" fontId="10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7" fillId="2" borderId="0" xfId="0" applyNumberFormat="1" applyFont="1" applyFill="1" applyAlignment="1" applyProtection="1">
      <alignment horizontal="left"/>
      <protection locked="0"/>
    </xf>
    <xf numFmtId="4" fontId="18" fillId="2" borderId="0" xfId="0" applyNumberFormat="1" applyFont="1" applyFill="1" applyAlignment="1" applyProtection="1">
      <alignment horizontal="left"/>
      <protection locked="0"/>
    </xf>
    <xf numFmtId="4" fontId="49" fillId="2" borderId="98" xfId="0" applyNumberFormat="1" applyFont="1" applyFill="1" applyBorder="1" applyAlignment="1" applyProtection="1">
      <alignment horizontal="left" vertical="center"/>
      <protection locked="0"/>
    </xf>
    <xf numFmtId="4" fontId="50" fillId="2" borderId="55" xfId="0" applyNumberFormat="1" applyFont="1" applyFill="1" applyBorder="1" applyAlignment="1" applyProtection="1">
      <alignment horizontal="left" vertical="center"/>
      <protection locked="0"/>
    </xf>
    <xf numFmtId="4" fontId="49" fillId="2" borderId="55" xfId="0" applyNumberFormat="1" applyFont="1" applyFill="1" applyBorder="1" applyAlignment="1" applyProtection="1">
      <alignment horizontal="left" vertical="center"/>
      <protection locked="0"/>
    </xf>
    <xf numFmtId="0" fontId="10" fillId="2" borderId="54" xfId="0" applyFont="1" applyFill="1" applyBorder="1" applyAlignment="1">
      <alignment horizontal="center"/>
    </xf>
    <xf numFmtId="0" fontId="10" fillId="2" borderId="0" xfId="0" applyFont="1" applyFill="1"/>
    <xf numFmtId="0" fontId="18" fillId="2" borderId="41" xfId="0" applyFont="1" applyFill="1" applyBorder="1"/>
    <xf numFmtId="0" fontId="7" fillId="2" borderId="123" xfId="0" applyFont="1" applyFill="1" applyBorder="1" applyAlignment="1">
      <alignment horizontal="center"/>
    </xf>
    <xf numFmtId="0" fontId="7" fillId="2" borderId="21" xfId="0" applyFont="1" applyFill="1" applyBorder="1"/>
    <xf numFmtId="4" fontId="7" fillId="2" borderId="42" xfId="0" applyNumberFormat="1" applyFont="1" applyFill="1" applyBorder="1"/>
    <xf numFmtId="0" fontId="1" fillId="2" borderId="124" xfId="0" applyFont="1" applyFill="1" applyBorder="1" applyAlignment="1">
      <alignment horizontal="center"/>
    </xf>
    <xf numFmtId="0" fontId="1" fillId="2" borderId="22" xfId="0" applyFont="1" applyFill="1" applyBorder="1"/>
    <xf numFmtId="4" fontId="1" fillId="2" borderId="43" xfId="0" applyNumberFormat="1" applyFont="1" applyFill="1" applyBorder="1" applyProtection="1">
      <protection locked="0"/>
    </xf>
    <xf numFmtId="0" fontId="1" fillId="2" borderId="125" xfId="0" applyFont="1" applyFill="1" applyBorder="1" applyAlignment="1">
      <alignment horizontal="center"/>
    </xf>
    <xf numFmtId="0" fontId="1" fillId="2" borderId="24" xfId="0" applyFont="1" applyFill="1" applyBorder="1"/>
    <xf numFmtId="4" fontId="1" fillId="2" borderId="130" xfId="0" applyNumberFormat="1" applyFont="1" applyFill="1" applyBorder="1" applyProtection="1">
      <protection locked="0"/>
    </xf>
    <xf numFmtId="0" fontId="1" fillId="2" borderId="23" xfId="0" applyFont="1" applyFill="1" applyBorder="1"/>
    <xf numFmtId="4" fontId="1" fillId="2" borderId="44" xfId="0" applyNumberFormat="1" applyFont="1" applyFill="1" applyBorder="1" applyProtection="1">
      <protection locked="0"/>
    </xf>
    <xf numFmtId="0" fontId="7" fillId="2" borderId="12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4" fontId="7" fillId="2" borderId="129" xfId="0" applyNumberFormat="1" applyFont="1" applyFill="1" applyBorder="1"/>
    <xf numFmtId="0" fontId="7" fillId="2" borderId="54" xfId="0" applyFont="1" applyFill="1" applyBorder="1" applyAlignment="1">
      <alignment horizontal="center"/>
    </xf>
    <xf numFmtId="2" fontId="1" fillId="2" borderId="128" xfId="0" applyNumberFormat="1" applyFont="1" applyFill="1" applyBorder="1" applyAlignment="1">
      <alignment horizontal="center"/>
    </xf>
    <xf numFmtId="2" fontId="1" fillId="2" borderId="25" xfId="0" applyNumberFormat="1" applyFont="1" applyFill="1" applyBorder="1"/>
    <xf numFmtId="4" fontId="7" fillId="2" borderId="40" xfId="0" applyNumberFormat="1" applyFont="1" applyFill="1" applyBorder="1"/>
    <xf numFmtId="0" fontId="1" fillId="2" borderId="54" xfId="0" applyFont="1" applyFill="1" applyBorder="1" applyAlignment="1">
      <alignment horizontal="center"/>
    </xf>
    <xf numFmtId="0" fontId="18" fillId="3" borderId="51" xfId="0" applyFont="1" applyFill="1" applyBorder="1"/>
    <xf numFmtId="0" fontId="18" fillId="3" borderId="52" xfId="0" applyFont="1" applyFill="1" applyBorder="1"/>
    <xf numFmtId="0" fontId="11" fillId="3" borderId="54" xfId="0" applyFont="1" applyFill="1" applyBorder="1"/>
    <xf numFmtId="0" fontId="18" fillId="3" borderId="0" xfId="0" applyFont="1" applyFill="1"/>
    <xf numFmtId="0" fontId="12" fillId="2" borderId="0" xfId="0" applyFont="1" applyFill="1"/>
    <xf numFmtId="0" fontId="18" fillId="2" borderId="28" xfId="0" applyFont="1" applyFill="1" applyBorder="1"/>
    <xf numFmtId="0" fontId="18" fillId="2" borderId="120" xfId="0" applyFont="1" applyFill="1" applyBorder="1"/>
    <xf numFmtId="0" fontId="18" fillId="2" borderId="55" xfId="0" applyFont="1" applyFill="1" applyBorder="1"/>
    <xf numFmtId="0" fontId="10" fillId="2" borderId="123" xfId="0" applyFont="1" applyFill="1" applyBorder="1" applyAlignment="1">
      <alignment horizontal="center"/>
    </xf>
    <xf numFmtId="0" fontId="10" fillId="2" borderId="21" xfId="0" applyFont="1" applyFill="1" applyBorder="1"/>
    <xf numFmtId="4" fontId="10" fillId="2" borderId="29" xfId="0" applyNumberFormat="1" applyFont="1" applyFill="1" applyBorder="1"/>
    <xf numFmtId="0" fontId="1" fillId="2" borderId="45" xfId="0" applyFont="1" applyFill="1" applyBorder="1"/>
    <xf numFmtId="4" fontId="18" fillId="2" borderId="28" xfId="0" applyNumberFormat="1" applyFont="1" applyFill="1" applyBorder="1"/>
    <xf numFmtId="4" fontId="18" fillId="2" borderId="120" xfId="0" applyNumberFormat="1" applyFont="1" applyFill="1" applyBorder="1"/>
    <xf numFmtId="4" fontId="18" fillId="2" borderId="118" xfId="0" applyNumberFormat="1" applyFont="1" applyFill="1" applyBorder="1"/>
    <xf numFmtId="0" fontId="20" fillId="2" borderId="50" xfId="0" applyFont="1" applyFill="1" applyBorder="1" applyAlignment="1">
      <alignment horizontal="left"/>
    </xf>
    <xf numFmtId="0" fontId="20" fillId="2" borderId="26" xfId="0" applyFont="1" applyFill="1" applyBorder="1"/>
    <xf numFmtId="4" fontId="20" fillId="2" borderId="119" xfId="0" applyNumberFormat="1" applyFont="1" applyFill="1" applyBorder="1"/>
    <xf numFmtId="0" fontId="35" fillId="2" borderId="0" xfId="0" applyFont="1" applyFill="1" applyAlignment="1">
      <alignment horizontal="right" wrapText="1"/>
    </xf>
    <xf numFmtId="0" fontId="35" fillId="2" borderId="0" xfId="0" applyFont="1" applyFill="1" applyAlignment="1">
      <alignment horizontal="right"/>
    </xf>
    <xf numFmtId="0" fontId="10" fillId="2" borderId="45" xfId="0" applyFont="1" applyFill="1" applyBorder="1" applyAlignment="1">
      <alignment horizontal="center"/>
    </xf>
    <xf numFmtId="0" fontId="18" fillId="2" borderId="46" xfId="0" applyFont="1" applyFill="1" applyBorder="1"/>
    <xf numFmtId="0" fontId="10" fillId="2" borderId="33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49" xfId="0" applyFont="1" applyFill="1" applyBorder="1" applyAlignment="1">
      <alignment horizontal="center"/>
    </xf>
    <xf numFmtId="0" fontId="1" fillId="2" borderId="126" xfId="0" applyFont="1" applyFill="1" applyBorder="1"/>
    <xf numFmtId="0" fontId="1" fillId="2" borderId="45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18" fillId="3" borderId="30" xfId="0" applyFont="1" applyFill="1" applyBorder="1"/>
    <xf numFmtId="0" fontId="18" fillId="3" borderId="31" xfId="0" applyFont="1" applyFill="1" applyBorder="1"/>
    <xf numFmtId="0" fontId="11" fillId="3" borderId="45" xfId="0" applyFont="1" applyFill="1" applyBorder="1"/>
    <xf numFmtId="4" fontId="32" fillId="2" borderId="42" xfId="0" applyNumberFormat="1" applyFont="1" applyFill="1" applyBorder="1"/>
    <xf numFmtId="4" fontId="26" fillId="2" borderId="42" xfId="0" applyNumberFormat="1" applyFont="1" applyFill="1" applyBorder="1"/>
    <xf numFmtId="4" fontId="26" fillId="2" borderId="47" xfId="0" applyNumberFormat="1" applyFont="1" applyFill="1" applyBorder="1"/>
    <xf numFmtId="4" fontId="41" fillId="2" borderId="43" xfId="0" applyNumberFormat="1" applyFont="1" applyFill="1" applyBorder="1" applyProtection="1">
      <protection locked="0"/>
    </xf>
    <xf numFmtId="4" fontId="41" fillId="2" borderId="44" xfId="0" applyNumberFormat="1" applyFont="1" applyFill="1" applyBorder="1" applyProtection="1">
      <protection locked="0"/>
    </xf>
    <xf numFmtId="4" fontId="26" fillId="2" borderId="42" xfId="0" applyNumberFormat="1" applyFont="1" applyFill="1" applyBorder="1" applyProtection="1">
      <protection locked="0"/>
    </xf>
    <xf numFmtId="4" fontId="24" fillId="2" borderId="41" xfId="0" applyNumberFormat="1" applyFont="1" applyFill="1" applyBorder="1"/>
    <xf numFmtId="4" fontId="24" fillId="2" borderId="46" xfId="0" applyNumberFormat="1" applyFont="1" applyFill="1" applyBorder="1"/>
    <xf numFmtId="4" fontId="26" fillId="2" borderId="47" xfId="0" applyNumberFormat="1" applyFont="1" applyFill="1" applyBorder="1" applyProtection="1">
      <protection locked="0"/>
    </xf>
    <xf numFmtId="4" fontId="60" fillId="2" borderId="40" xfId="0" applyNumberFormat="1" applyFont="1" applyFill="1" applyBorder="1"/>
    <xf numFmtId="4" fontId="49" fillId="0" borderId="98" xfId="0" applyNumberFormat="1" applyFont="1" applyBorder="1" applyAlignment="1">
      <alignment horizontal="right" vertical="center"/>
    </xf>
    <xf numFmtId="4" fontId="49" fillId="0" borderId="19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0" fillId="3" borderId="116" xfId="0" applyFont="1" applyFill="1" applyBorder="1" applyAlignment="1">
      <alignment vertical="center"/>
    </xf>
    <xf numFmtId="0" fontId="12" fillId="3" borderId="117" xfId="0" applyFont="1" applyFill="1" applyBorder="1" applyAlignment="1">
      <alignment horizontal="center" vertical="center"/>
    </xf>
    <xf numFmtId="4" fontId="10" fillId="3" borderId="167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4" fontId="10" fillId="2" borderId="0" xfId="0" applyNumberFormat="1" applyFont="1" applyFill="1"/>
    <xf numFmtId="0" fontId="10" fillId="2" borderId="51" xfId="0" applyFont="1" applyFill="1" applyBorder="1" applyAlignment="1">
      <alignment horizontal="center"/>
    </xf>
    <xf numFmtId="0" fontId="10" fillId="2" borderId="52" xfId="0" applyFont="1" applyFill="1" applyBorder="1"/>
    <xf numFmtId="0" fontId="18" fillId="2" borderId="70" xfId="0" applyFont="1" applyFill="1" applyBorder="1"/>
    <xf numFmtId="0" fontId="18" fillId="2" borderId="9" xfId="0" applyFont="1" applyFill="1" applyBorder="1" applyAlignment="1">
      <alignment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4" fontId="7" fillId="2" borderId="129" xfId="0" applyNumberFormat="1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7" fillId="2" borderId="169" xfId="0" applyFont="1" applyFill="1" applyBorder="1" applyAlignment="1">
      <alignment horizontal="center" vertical="center"/>
    </xf>
    <xf numFmtId="0" fontId="7" fillId="2" borderId="170" xfId="0" applyFont="1" applyFill="1" applyBorder="1" applyAlignment="1">
      <alignment horizontal="left" vertical="center" wrapText="1"/>
    </xf>
    <xf numFmtId="4" fontId="7" fillId="2" borderId="168" xfId="0" applyNumberFormat="1" applyFont="1" applyFill="1" applyBorder="1" applyAlignment="1">
      <alignment vertical="center"/>
    </xf>
    <xf numFmtId="0" fontId="10" fillId="2" borderId="169" xfId="0" applyFont="1" applyFill="1" applyBorder="1" applyAlignment="1">
      <alignment horizontal="center" vertical="center"/>
    </xf>
    <xf numFmtId="0" fontId="10" fillId="2" borderId="170" xfId="0" applyFont="1" applyFill="1" applyBorder="1" applyAlignment="1">
      <alignment horizontal="left" vertical="center" wrapText="1"/>
    </xf>
    <xf numFmtId="4" fontId="10" fillId="2" borderId="168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0" fillId="2" borderId="1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 wrapText="1"/>
    </xf>
    <xf numFmtId="4" fontId="10" fillId="2" borderId="40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4" fontId="7" fillId="2" borderId="168" xfId="0" applyNumberFormat="1" applyFont="1" applyFill="1" applyBorder="1" applyAlignment="1" applyProtection="1">
      <alignment vertical="center"/>
      <protection locked="0"/>
    </xf>
    <xf numFmtId="4" fontId="14" fillId="2" borderId="98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60" xfId="0" applyFont="1" applyFill="1" applyBorder="1" applyAlignment="1" applyProtection="1">
      <alignment vertical="center"/>
      <protection locked="0"/>
    </xf>
    <xf numFmtId="0" fontId="1" fillId="2" borderId="62" xfId="0" applyFont="1" applyFill="1" applyBorder="1" applyAlignment="1" applyProtection="1">
      <alignment vertical="center"/>
      <protection locked="0"/>
    </xf>
    <xf numFmtId="4" fontId="1" fillId="2" borderId="72" xfId="0" applyNumberFormat="1" applyFont="1" applyFill="1" applyBorder="1" applyAlignment="1" applyProtection="1">
      <alignment horizontal="right" vertical="center"/>
      <protection locked="0"/>
    </xf>
    <xf numFmtId="0" fontId="1" fillId="2" borderId="63" xfId="0" applyFont="1" applyFill="1" applyBorder="1" applyAlignment="1" applyProtection="1">
      <alignment vertical="center"/>
      <protection locked="0"/>
    </xf>
    <xf numFmtId="0" fontId="1" fillId="2" borderId="65" xfId="0" applyFont="1" applyFill="1" applyBorder="1" applyAlignment="1" applyProtection="1">
      <alignment vertical="center"/>
      <protection locked="0"/>
    </xf>
    <xf numFmtId="4" fontId="1" fillId="2" borderId="73" xfId="0" applyNumberFormat="1" applyFont="1" applyFill="1" applyBorder="1" applyAlignment="1" applyProtection="1">
      <alignment horizontal="right" vertical="center"/>
      <protection locked="0"/>
    </xf>
    <xf numFmtId="4" fontId="1" fillId="2" borderId="60" xfId="0" applyNumberFormat="1" applyFont="1" applyFill="1" applyBorder="1" applyAlignment="1">
      <alignment horizontal="left" vertical="center"/>
    </xf>
    <xf numFmtId="0" fontId="1" fillId="2" borderId="93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horizontal="left" vertical="center"/>
    </xf>
    <xf numFmtId="0" fontId="18" fillId="2" borderId="68" xfId="0" applyFont="1" applyFill="1" applyBorder="1" applyAlignment="1">
      <alignment horizontal="left"/>
    </xf>
    <xf numFmtId="0" fontId="62" fillId="2" borderId="0" xfId="0" applyFont="1" applyFill="1" applyAlignment="1">
      <alignment horizontal="left"/>
    </xf>
    <xf numFmtId="0" fontId="7" fillId="2" borderId="0" xfId="0" applyFont="1" applyFill="1" applyAlignment="1">
      <alignment horizontal="right" vertical="center"/>
    </xf>
    <xf numFmtId="4" fontId="34" fillId="6" borderId="115" xfId="0" applyNumberFormat="1" applyFont="1" applyFill="1" applyBorder="1"/>
    <xf numFmtId="0" fontId="7" fillId="2" borderId="131" xfId="0" applyFont="1" applyFill="1" applyBorder="1" applyAlignment="1">
      <alignment vertical="center"/>
    </xf>
    <xf numFmtId="0" fontId="1" fillId="2" borderId="132" xfId="0" applyFont="1" applyFill="1" applyBorder="1" applyAlignment="1">
      <alignment vertical="center"/>
    </xf>
    <xf numFmtId="4" fontId="7" fillId="2" borderId="133" xfId="0" applyNumberFormat="1" applyFont="1" applyFill="1" applyBorder="1" applyAlignment="1">
      <alignment horizontal="right" vertical="center"/>
    </xf>
    <xf numFmtId="0" fontId="1" fillId="2" borderId="62" xfId="0" applyFont="1" applyFill="1" applyBorder="1" applyAlignment="1">
      <alignment vertical="center"/>
    </xf>
    <xf numFmtId="4" fontId="7" fillId="2" borderId="72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 applyProtection="1">
      <alignment horizontal="left"/>
      <protection locked="0"/>
    </xf>
    <xf numFmtId="0" fontId="18" fillId="2" borderId="10" xfId="0" applyFont="1" applyFill="1" applyBorder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/>
      <protection locked="0"/>
    </xf>
    <xf numFmtId="4" fontId="1" fillId="2" borderId="95" xfId="0" applyNumberFormat="1" applyFont="1" applyFill="1" applyBorder="1" applyAlignment="1" applyProtection="1">
      <alignment vertical="center"/>
      <protection locked="0"/>
    </xf>
    <xf numFmtId="0" fontId="1" fillId="2" borderId="21" xfId="0" applyFont="1" applyFill="1" applyBorder="1"/>
    <xf numFmtId="0" fontId="1" fillId="2" borderId="123" xfId="0" applyFont="1" applyFill="1" applyBorder="1" applyAlignment="1">
      <alignment horizontal="center"/>
    </xf>
    <xf numFmtId="4" fontId="1" fillId="2" borderId="42" xfId="0" applyNumberFormat="1" applyFont="1" applyFill="1" applyBorder="1" applyProtection="1">
      <protection locked="0"/>
    </xf>
    <xf numFmtId="4" fontId="1" fillId="2" borderId="171" xfId="0" applyNumberFormat="1" applyFont="1" applyFill="1" applyBorder="1" applyProtection="1">
      <protection locked="0"/>
    </xf>
    <xf numFmtId="4" fontId="7" fillId="2" borderId="59" xfId="0" applyNumberFormat="1" applyFont="1" applyFill="1" applyBorder="1" applyAlignment="1" applyProtection="1">
      <alignment vertical="center"/>
      <protection locked="0"/>
    </xf>
    <xf numFmtId="4" fontId="7" fillId="2" borderId="62" xfId="0" applyNumberFormat="1" applyFont="1" applyFill="1" applyBorder="1" applyAlignment="1" applyProtection="1">
      <alignment vertical="center"/>
      <protection locked="0"/>
    </xf>
    <xf numFmtId="4" fontId="7" fillId="2" borderId="65" xfId="0" applyNumberFormat="1" applyFont="1" applyFill="1" applyBorder="1" applyAlignment="1" applyProtection="1">
      <alignment vertical="center"/>
      <protection locked="0"/>
    </xf>
    <xf numFmtId="0" fontId="25" fillId="3" borderId="41" xfId="132" applyFont="1" applyFill="1" applyBorder="1" applyAlignment="1">
      <alignment horizontal="center" wrapText="1"/>
    </xf>
    <xf numFmtId="4" fontId="7" fillId="13" borderId="69" xfId="0" applyNumberFormat="1" applyFont="1" applyFill="1" applyBorder="1" applyAlignment="1">
      <alignment vertical="center"/>
    </xf>
    <xf numFmtId="0" fontId="1" fillId="2" borderId="57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89" xfId="0" applyFont="1" applyFill="1" applyBorder="1" applyAlignment="1">
      <alignment vertical="center"/>
    </xf>
    <xf numFmtId="0" fontId="7" fillId="3" borderId="172" xfId="0" applyFont="1" applyFill="1" applyBorder="1" applyAlignment="1" applyProtection="1">
      <alignment horizontal="left" vertical="center"/>
      <protection locked="0"/>
    </xf>
    <xf numFmtId="0" fontId="1" fillId="3" borderId="173" xfId="0" applyFont="1" applyFill="1" applyBorder="1" applyAlignment="1">
      <alignment horizontal="center" vertical="center"/>
    </xf>
    <xf numFmtId="4" fontId="10" fillId="3" borderId="173" xfId="0" applyNumberFormat="1" applyFont="1" applyFill="1" applyBorder="1" applyAlignment="1">
      <alignment horizontal="left" vertical="center"/>
    </xf>
    <xf numFmtId="4" fontId="10" fillId="3" borderId="174" xfId="0" applyNumberFormat="1" applyFont="1" applyFill="1" applyBorder="1" applyAlignment="1">
      <alignment horizontal="left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74" xfId="0" quotePrefix="1" applyFont="1" applyFill="1" applyBorder="1" applyAlignment="1">
      <alignment horizontal="center" vertical="center"/>
    </xf>
    <xf numFmtId="0" fontId="1" fillId="2" borderId="95" xfId="0" applyFont="1" applyFill="1" applyBorder="1" applyAlignment="1" applyProtection="1">
      <alignment horizontal="left" vertical="center"/>
      <protection locked="0"/>
    </xf>
    <xf numFmtId="0" fontId="1" fillId="2" borderId="95" xfId="0" applyFont="1" applyFill="1" applyBorder="1" applyAlignment="1" applyProtection="1">
      <alignment horizontal="center" vertical="center"/>
      <protection locked="0"/>
    </xf>
    <xf numFmtId="0" fontId="1" fillId="3" borderId="95" xfId="0" applyFont="1" applyFill="1" applyBorder="1" applyAlignment="1">
      <alignment horizontal="center" vertical="center"/>
    </xf>
    <xf numFmtId="0" fontId="41" fillId="3" borderId="95" xfId="0" applyFont="1" applyFill="1" applyBorder="1" applyAlignment="1">
      <alignment horizontal="center" vertical="center"/>
    </xf>
    <xf numFmtId="4" fontId="1" fillId="2" borderId="71" xfId="0" applyNumberFormat="1" applyFont="1" applyFill="1" applyBorder="1" applyAlignment="1" applyProtection="1">
      <alignment horizontal="right" vertical="center"/>
      <protection locked="0"/>
    </xf>
    <xf numFmtId="4" fontId="1" fillId="2" borderId="98" xfId="0" applyNumberFormat="1" applyFont="1" applyFill="1" applyBorder="1" applyAlignment="1" applyProtection="1">
      <alignment horizontal="right" vertical="center"/>
      <protection locked="0"/>
    </xf>
    <xf numFmtId="4" fontId="2" fillId="2" borderId="96" xfId="0" applyNumberFormat="1" applyFont="1" applyFill="1" applyBorder="1" applyAlignment="1" applyProtection="1">
      <alignment horizontal="right" vertical="center"/>
      <protection locked="0"/>
    </xf>
    <xf numFmtId="4" fontId="2" fillId="2" borderId="71" xfId="0" applyNumberFormat="1" applyFont="1" applyFill="1" applyBorder="1" applyAlignment="1" applyProtection="1">
      <alignment horizontal="right" vertical="center"/>
      <protection locked="0"/>
    </xf>
    <xf numFmtId="4" fontId="2" fillId="2" borderId="78" xfId="0" applyNumberFormat="1" applyFont="1" applyFill="1" applyBorder="1" applyAlignment="1" applyProtection="1">
      <alignment horizontal="right" vertical="center"/>
      <protection locked="0"/>
    </xf>
    <xf numFmtId="4" fontId="2" fillId="2" borderId="72" xfId="0" applyNumberFormat="1" applyFont="1" applyFill="1" applyBorder="1" applyAlignment="1" applyProtection="1">
      <alignment horizontal="right" vertical="center"/>
      <protection locked="0"/>
    </xf>
    <xf numFmtId="0" fontId="1" fillId="2" borderId="61" xfId="0" applyFont="1" applyFill="1" applyBorder="1" applyAlignment="1" applyProtection="1">
      <alignment horizontal="left" vertical="center"/>
      <protection locked="0"/>
    </xf>
    <xf numFmtId="0" fontId="1" fillId="2" borderId="72" xfId="0" applyFont="1" applyFill="1" applyBorder="1" applyAlignment="1" applyProtection="1">
      <alignment horizontal="center" vertical="center"/>
      <protection locked="0"/>
    </xf>
    <xf numFmtId="0" fontId="1" fillId="2" borderId="72" xfId="0" applyFont="1" applyFill="1" applyBorder="1" applyAlignment="1" applyProtection="1">
      <alignment horizontal="left" vertical="center"/>
      <protection locked="0"/>
    </xf>
    <xf numFmtId="0" fontId="1" fillId="3" borderId="72" xfId="0" applyFont="1" applyFill="1" applyBorder="1" applyAlignment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  <protection locked="0"/>
    </xf>
    <xf numFmtId="0" fontId="1" fillId="2" borderId="73" xfId="0" applyFont="1" applyFill="1" applyBorder="1" applyAlignment="1" applyProtection="1">
      <alignment horizontal="left" vertical="center"/>
      <protection locked="0"/>
    </xf>
    <xf numFmtId="0" fontId="1" fillId="2" borderId="64" xfId="0" applyFont="1" applyFill="1" applyBorder="1" applyAlignment="1" applyProtection="1">
      <alignment horizontal="left" vertical="center"/>
      <protection locked="0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1" fillId="3" borderId="73" xfId="0" applyFont="1" applyFill="1" applyBorder="1" applyAlignment="1">
      <alignment horizontal="center" vertical="center"/>
    </xf>
    <xf numFmtId="4" fontId="1" fillId="2" borderId="65" xfId="0" applyNumberFormat="1" applyFont="1" applyFill="1" applyBorder="1" applyAlignment="1" applyProtection="1">
      <alignment horizontal="right" vertical="center"/>
      <protection locked="0"/>
    </xf>
    <xf numFmtId="4" fontId="2" fillId="2" borderId="81" xfId="0" applyNumberFormat="1" applyFont="1" applyFill="1" applyBorder="1" applyAlignment="1" applyProtection="1">
      <alignment horizontal="right" vertical="center"/>
      <protection locked="0"/>
    </xf>
    <xf numFmtId="4" fontId="2" fillId="2" borderId="73" xfId="0" applyNumberFormat="1" applyFont="1" applyFill="1" applyBorder="1" applyAlignment="1" applyProtection="1">
      <alignment horizontal="right" vertical="center"/>
      <protection locked="0"/>
    </xf>
    <xf numFmtId="4" fontId="7" fillId="3" borderId="0" xfId="0" applyNumberFormat="1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Alignment="1">
      <alignment vertical="center"/>
    </xf>
    <xf numFmtId="3" fontId="10" fillId="2" borderId="15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43" fillId="2" borderId="0" xfId="0" applyFont="1" applyFill="1" applyAlignment="1">
      <alignment horizontal="left" vertical="center"/>
    </xf>
    <xf numFmtId="4" fontId="30" fillId="2" borderId="0" xfId="0" applyNumberFormat="1" applyFont="1" applyFill="1" applyAlignment="1">
      <alignment vertical="center"/>
    </xf>
    <xf numFmtId="4" fontId="7" fillId="2" borderId="92" xfId="0" applyNumberFormat="1" applyFont="1" applyFill="1" applyBorder="1" applyAlignment="1">
      <alignment vertical="center"/>
    </xf>
    <xf numFmtId="0" fontId="1" fillId="2" borderId="87" xfId="0" applyFont="1" applyFill="1" applyBorder="1" applyAlignment="1">
      <alignment horizontal="left" vertical="center"/>
    </xf>
    <xf numFmtId="0" fontId="1" fillId="2" borderId="94" xfId="0" applyFont="1" applyFill="1" applyBorder="1" applyAlignment="1">
      <alignment horizontal="left" vertical="center"/>
    </xf>
    <xf numFmtId="4" fontId="1" fillId="2" borderId="102" xfId="0" applyNumberFormat="1" applyFont="1" applyFill="1" applyBorder="1" applyAlignment="1" applyProtection="1">
      <alignment vertical="center"/>
      <protection locked="0"/>
    </xf>
    <xf numFmtId="4" fontId="1" fillId="2" borderId="97" xfId="0" applyNumberFormat="1" applyFont="1" applyFill="1" applyBorder="1" applyAlignment="1" applyProtection="1">
      <alignment vertical="center"/>
      <protection locked="0"/>
    </xf>
    <xf numFmtId="4" fontId="1" fillId="2" borderId="108" xfId="0" applyNumberFormat="1" applyFont="1" applyFill="1" applyBorder="1" applyAlignment="1" applyProtection="1">
      <alignment horizontal="right" vertical="center"/>
      <protection locked="0"/>
    </xf>
    <xf numFmtId="0" fontId="1" fillId="2" borderId="61" xfId="0" applyFont="1" applyFill="1" applyBorder="1" applyAlignment="1">
      <alignment horizontal="left" vertical="center"/>
    </xf>
    <xf numFmtId="4" fontId="1" fillId="2" borderId="72" xfId="0" applyNumberFormat="1" applyFont="1" applyFill="1" applyBorder="1" applyAlignment="1" applyProtection="1">
      <alignment vertical="center"/>
      <protection locked="0"/>
    </xf>
    <xf numFmtId="4" fontId="1" fillId="2" borderId="103" xfId="0" applyNumberFormat="1" applyFont="1" applyFill="1" applyBorder="1" applyAlignment="1" applyProtection="1">
      <alignment vertical="center"/>
      <protection locked="0"/>
    </xf>
    <xf numFmtId="4" fontId="1" fillId="2" borderId="79" xfId="0" applyNumberFormat="1" applyFont="1" applyFill="1" applyBorder="1" applyAlignment="1" applyProtection="1">
      <alignment vertical="center"/>
      <protection locked="0"/>
    </xf>
    <xf numFmtId="4" fontId="1" fillId="2" borderId="80" xfId="0" applyNumberFormat="1" applyFont="1" applyFill="1" applyBorder="1" applyAlignment="1" applyProtection="1">
      <alignment horizontal="right" vertical="center"/>
      <protection locked="0"/>
    </xf>
    <xf numFmtId="0" fontId="1" fillId="2" borderId="88" xfId="0" applyFont="1" applyFill="1" applyBorder="1" applyAlignment="1">
      <alignment horizontal="left" vertical="center"/>
    </xf>
    <xf numFmtId="4" fontId="1" fillId="2" borderId="89" xfId="0" applyNumberFormat="1" applyFont="1" applyFill="1" applyBorder="1" applyAlignment="1" applyProtection="1">
      <alignment vertical="center"/>
      <protection locked="0"/>
    </xf>
    <xf numFmtId="4" fontId="1" fillId="2" borderId="175" xfId="0" applyNumberFormat="1" applyFont="1" applyFill="1" applyBorder="1" applyAlignment="1" applyProtection="1">
      <alignment vertical="center"/>
      <protection locked="0"/>
    </xf>
    <xf numFmtId="4" fontId="1" fillId="2" borderId="91" xfId="0" applyNumberFormat="1" applyFont="1" applyFill="1" applyBorder="1" applyAlignment="1" applyProtection="1">
      <alignment vertical="center"/>
      <protection locked="0"/>
    </xf>
    <xf numFmtId="4" fontId="1" fillId="2" borderId="176" xfId="0" applyNumberFormat="1" applyFont="1" applyFill="1" applyBorder="1" applyAlignment="1" applyProtection="1">
      <alignment horizontal="right" vertical="center"/>
      <protection locked="0"/>
    </xf>
    <xf numFmtId="0" fontId="1" fillId="2" borderId="64" xfId="0" applyFont="1" applyFill="1" applyBorder="1" applyAlignment="1">
      <alignment horizontal="left" vertical="center"/>
    </xf>
    <xf numFmtId="4" fontId="1" fillId="2" borderId="73" xfId="0" applyNumberFormat="1" applyFont="1" applyFill="1" applyBorder="1" applyAlignment="1" applyProtection="1">
      <alignment vertical="center"/>
      <protection locked="0"/>
    </xf>
    <xf numFmtId="4" fontId="1" fillId="2" borderId="104" xfId="0" applyNumberFormat="1" applyFont="1" applyFill="1" applyBorder="1" applyAlignment="1" applyProtection="1">
      <alignment vertical="center"/>
      <protection locked="0"/>
    </xf>
    <xf numFmtId="4" fontId="1" fillId="2" borderId="82" xfId="0" applyNumberFormat="1" applyFont="1" applyFill="1" applyBorder="1" applyAlignment="1" applyProtection="1">
      <alignment vertical="center"/>
      <protection locked="0"/>
    </xf>
    <xf numFmtId="4" fontId="1" fillId="2" borderId="83" xfId="0" applyNumberFormat="1" applyFont="1" applyFill="1" applyBorder="1" applyAlignment="1" applyProtection="1">
      <alignment horizontal="right" vertical="center"/>
      <protection locked="0"/>
    </xf>
    <xf numFmtId="4" fontId="7" fillId="2" borderId="0" xfId="0" applyNumberFormat="1" applyFont="1" applyFill="1" applyAlignment="1" applyProtection="1">
      <alignment vertical="center"/>
      <protection locked="0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vertical="center" indent="3"/>
    </xf>
    <xf numFmtId="10" fontId="63" fillId="2" borderId="98" xfId="0" applyNumberFormat="1" applyFont="1" applyFill="1" applyBorder="1" applyAlignment="1">
      <alignment horizontal="right" vertical="center"/>
    </xf>
    <xf numFmtId="10" fontId="63" fillId="2" borderId="62" xfId="0" applyNumberFormat="1" applyFont="1" applyFill="1" applyBorder="1" applyAlignment="1">
      <alignment horizontal="right" vertical="center"/>
    </xf>
    <xf numFmtId="10" fontId="63" fillId="2" borderId="65" xfId="0" applyNumberFormat="1" applyFont="1" applyFill="1" applyBorder="1" applyAlignment="1">
      <alignment horizontal="right" vertical="center"/>
    </xf>
    <xf numFmtId="1" fontId="9" fillId="3" borderId="0" xfId="0" applyNumberFormat="1" applyFont="1" applyFill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4" fontId="63" fillId="0" borderId="95" xfId="0" applyNumberFormat="1" applyFont="1" applyBorder="1" applyAlignment="1">
      <alignment vertical="center"/>
    </xf>
    <xf numFmtId="4" fontId="63" fillId="0" borderId="73" xfId="0" applyNumberFormat="1" applyFont="1" applyBorder="1" applyAlignment="1">
      <alignment vertical="center"/>
    </xf>
    <xf numFmtId="0" fontId="7" fillId="2" borderId="93" xfId="0" applyFont="1" applyFill="1" applyBorder="1" applyAlignment="1">
      <alignment horizontal="left" vertical="center"/>
    </xf>
    <xf numFmtId="0" fontId="7" fillId="2" borderId="98" xfId="0" applyFont="1" applyFill="1" applyBorder="1" applyAlignment="1">
      <alignment horizontal="left" vertical="center"/>
    </xf>
    <xf numFmtId="0" fontId="1" fillId="2" borderId="98" xfId="0" applyFont="1" applyFill="1" applyBorder="1" applyAlignment="1">
      <alignment horizontal="left" vertical="center"/>
    </xf>
    <xf numFmtId="0" fontId="63" fillId="2" borderId="93" xfId="0" applyFont="1" applyFill="1" applyBorder="1" applyAlignment="1">
      <alignment horizontal="center" vertical="center"/>
    </xf>
    <xf numFmtId="0" fontId="63" fillId="2" borderId="98" xfId="0" applyFont="1" applyFill="1" applyBorder="1" applyAlignment="1">
      <alignment horizontal="left" vertical="center"/>
    </xf>
    <xf numFmtId="0" fontId="63" fillId="2" borderId="63" xfId="0" applyFont="1" applyFill="1" applyBorder="1" applyAlignment="1">
      <alignment horizontal="center" vertical="center"/>
    </xf>
    <xf numFmtId="0" fontId="63" fillId="2" borderId="65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/>
    </xf>
    <xf numFmtId="4" fontId="24" fillId="2" borderId="0" xfId="0" applyNumberFormat="1" applyFont="1" applyFill="1" applyAlignment="1">
      <alignment horizontal="left"/>
    </xf>
    <xf numFmtId="4" fontId="7" fillId="3" borderId="15" xfId="0" applyNumberFormat="1" applyFont="1" applyFill="1" applyBorder="1" applyAlignment="1">
      <alignment horizontal="right" vertical="center"/>
    </xf>
    <xf numFmtId="4" fontId="26" fillId="3" borderId="101" xfId="132" applyNumberFormat="1" applyFont="1" applyFill="1" applyBorder="1" applyAlignment="1">
      <alignment horizontal="right" vertical="center" wrapText="1"/>
    </xf>
    <xf numFmtId="0" fontId="1" fillId="3" borderId="89" xfId="0" applyFont="1" applyFill="1" applyBorder="1" applyAlignment="1">
      <alignment vertical="center"/>
    </xf>
    <xf numFmtId="0" fontId="64" fillId="2" borderId="56" xfId="0" applyFont="1" applyFill="1" applyBorder="1" applyAlignment="1">
      <alignment horizontal="center"/>
    </xf>
    <xf numFmtId="0" fontId="64" fillId="2" borderId="20" xfId="0" applyFont="1" applyFill="1" applyBorder="1"/>
    <xf numFmtId="0" fontId="64" fillId="2" borderId="188" xfId="0" applyFont="1" applyFill="1" applyBorder="1" applyAlignment="1">
      <alignment horizontal="center"/>
    </xf>
    <xf numFmtId="0" fontId="64" fillId="2" borderId="189" xfId="0" applyFont="1" applyFill="1" applyBorder="1"/>
    <xf numFmtId="4" fontId="64" fillId="2" borderId="185" xfId="0" applyNumberFormat="1" applyFont="1" applyFill="1" applyBorder="1" applyProtection="1">
      <protection locked="0"/>
    </xf>
    <xf numFmtId="4" fontId="64" fillId="2" borderId="186" xfId="0" applyNumberFormat="1" applyFont="1" applyFill="1" applyBorder="1" applyProtection="1">
      <protection locked="0"/>
    </xf>
    <xf numFmtId="4" fontId="64" fillId="2" borderId="187" xfId="0" applyNumberFormat="1" applyFont="1" applyFill="1" applyBorder="1" applyProtection="1">
      <protection locked="0"/>
    </xf>
    <xf numFmtId="4" fontId="7" fillId="2" borderId="29" xfId="0" applyNumberFormat="1" applyFont="1" applyFill="1" applyBorder="1"/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7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4" fontId="10" fillId="0" borderId="9" xfId="0" applyNumberFormat="1" applyFont="1" applyBorder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4" fontId="18" fillId="0" borderId="9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4" fontId="18" fillId="0" borderId="10" xfId="0" applyNumberFormat="1" applyFont="1" applyBorder="1" applyAlignment="1" applyProtection="1">
      <alignment horizontal="right"/>
      <protection locked="0"/>
    </xf>
    <xf numFmtId="4" fontId="19" fillId="0" borderId="9" xfId="0" applyNumberFormat="1" applyFont="1" applyBorder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4" fontId="19" fillId="0" borderId="10" xfId="0" applyNumberFormat="1" applyFont="1" applyBorder="1" applyAlignment="1" applyProtection="1">
      <alignment horizontal="right"/>
      <protection locked="0"/>
    </xf>
    <xf numFmtId="4" fontId="18" fillId="0" borderId="9" xfId="0" applyNumberFormat="1" applyFont="1" applyBorder="1" applyAlignment="1" applyProtection="1">
      <alignment horizontal="right" vertical="center"/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 applyProtection="1">
      <alignment horizontal="right"/>
      <protection locked="0"/>
    </xf>
    <xf numFmtId="4" fontId="18" fillId="0" borderId="12" xfId="0" applyNumberFormat="1" applyFont="1" applyBorder="1" applyAlignment="1" applyProtection="1">
      <alignment horizontal="right"/>
      <protection locked="0"/>
    </xf>
    <xf numFmtId="4" fontId="18" fillId="0" borderId="13" xfId="0" applyNumberFormat="1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8" fillId="0" borderId="9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10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10" xfId="0" applyFont="1" applyBorder="1" applyProtection="1"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11" xfId="0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3" xfId="0" applyFont="1" applyBorder="1" applyProtection="1">
      <protection locked="0"/>
    </xf>
    <xf numFmtId="0" fontId="18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36" fillId="0" borderId="9" xfId="0" applyFont="1" applyBorder="1" applyProtection="1">
      <protection locked="0"/>
    </xf>
    <xf numFmtId="0" fontId="36" fillId="0" borderId="0" xfId="0" applyFont="1" applyProtection="1">
      <protection locked="0"/>
    </xf>
    <xf numFmtId="0" fontId="36" fillId="0" borderId="10" xfId="0" applyFont="1" applyBorder="1" applyProtection="1">
      <protection locked="0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8" fillId="0" borderId="9" xfId="0" applyFont="1" applyBorder="1"/>
    <xf numFmtId="0" fontId="18" fillId="0" borderId="0" xfId="0" applyFont="1"/>
    <xf numFmtId="0" fontId="18" fillId="0" borderId="10" xfId="0" applyFont="1" applyBorder="1"/>
    <xf numFmtId="4" fontId="18" fillId="0" borderId="9" xfId="0" applyNumberFormat="1" applyFont="1" applyBorder="1"/>
    <xf numFmtId="0" fontId="18" fillId="0" borderId="138" xfId="0" applyFont="1" applyBorder="1" applyProtection="1">
      <protection locked="0"/>
    </xf>
    <xf numFmtId="0" fontId="18" fillId="0" borderId="139" xfId="0" applyFont="1" applyBorder="1" applyProtection="1">
      <protection locked="0"/>
    </xf>
    <xf numFmtId="0" fontId="18" fillId="0" borderId="135" xfId="0" applyFont="1" applyBorder="1" applyProtection="1">
      <protection locked="0"/>
    </xf>
    <xf numFmtId="0" fontId="18" fillId="0" borderId="136" xfId="0" applyFont="1" applyBorder="1" applyProtection="1">
      <protection locked="0"/>
    </xf>
    <xf numFmtId="0" fontId="18" fillId="0" borderId="137" xfId="0" applyFont="1" applyBorder="1" applyProtection="1">
      <protection locked="0"/>
    </xf>
    <xf numFmtId="0" fontId="19" fillId="0" borderId="138" xfId="0" applyFont="1" applyBorder="1" applyAlignment="1" applyProtection="1">
      <alignment vertical="center"/>
      <protection locked="0"/>
    </xf>
    <xf numFmtId="0" fontId="18" fillId="0" borderId="138" xfId="0" applyFont="1" applyBorder="1"/>
    <xf numFmtId="0" fontId="1" fillId="2" borderId="95" xfId="0" applyFont="1" applyFill="1" applyBorder="1" applyAlignment="1">
      <alignment vertical="center"/>
    </xf>
    <xf numFmtId="0" fontId="1" fillId="2" borderId="71" xfId="0" applyFont="1" applyFill="1" applyBorder="1" applyAlignment="1">
      <alignment vertical="center"/>
    </xf>
    <xf numFmtId="0" fontId="65" fillId="2" borderId="0" xfId="0" applyFont="1" applyFill="1"/>
    <xf numFmtId="0" fontId="66" fillId="2" borderId="0" xfId="0" applyFont="1" applyFill="1" applyAlignment="1">
      <alignment vertical="center"/>
    </xf>
    <xf numFmtId="0" fontId="65" fillId="2" borderId="0" xfId="0" applyFont="1" applyFill="1" applyAlignment="1">
      <alignment wrapText="1"/>
    </xf>
    <xf numFmtId="0" fontId="7" fillId="3" borderId="121" xfId="0" applyFont="1" applyFill="1" applyBorder="1" applyAlignment="1">
      <alignment horizontal="center"/>
    </xf>
    <xf numFmtId="0" fontId="7" fillId="3" borderId="190" xfId="0" applyFont="1" applyFill="1" applyBorder="1" applyAlignment="1">
      <alignment horizontal="center"/>
    </xf>
    <xf numFmtId="0" fontId="7" fillId="3" borderId="122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20" fillId="3" borderId="120" xfId="0" applyFont="1" applyFill="1" applyBorder="1" applyAlignment="1">
      <alignment horizontal="center"/>
    </xf>
    <xf numFmtId="0" fontId="20" fillId="3" borderId="55" xfId="0" applyFont="1" applyFill="1" applyBorder="1" applyAlignment="1">
      <alignment horizontal="center"/>
    </xf>
    <xf numFmtId="0" fontId="18" fillId="2" borderId="45" xfId="0" applyFont="1" applyFill="1" applyBorder="1"/>
    <xf numFmtId="0" fontId="64" fillId="2" borderId="49" xfId="0" applyFont="1" applyFill="1" applyBorder="1" applyAlignment="1">
      <alignment horizontal="center"/>
    </xf>
    <xf numFmtId="0" fontId="64" fillId="2" borderId="23" xfId="0" applyFont="1" applyFill="1" applyBorder="1"/>
    <xf numFmtId="4" fontId="67" fillId="2" borderId="44" xfId="0" applyNumberFormat="1" applyFont="1" applyFill="1" applyBorder="1" applyProtection="1">
      <protection locked="0"/>
    </xf>
    <xf numFmtId="4" fontId="41" fillId="2" borderId="44" xfId="0" applyNumberFormat="1" applyFont="1" applyFill="1" applyBorder="1"/>
    <xf numFmtId="0" fontId="25" fillId="3" borderId="15" xfId="132" applyFont="1" applyFill="1" applyBorder="1" applyAlignment="1">
      <alignment horizontal="center" vertical="center" wrapText="1"/>
    </xf>
    <xf numFmtId="0" fontId="25" fillId="3" borderId="148" xfId="132" applyFont="1" applyFill="1" applyBorder="1" applyAlignment="1">
      <alignment horizontal="center" vertical="center" wrapText="1"/>
    </xf>
    <xf numFmtId="4" fontId="7" fillId="2" borderId="99" xfId="0" applyNumberFormat="1" applyFont="1" applyFill="1" applyBorder="1" applyAlignment="1">
      <alignment vertical="center"/>
    </xf>
    <xf numFmtId="4" fontId="7" fillId="2" borderId="148" xfId="0" applyNumberFormat="1" applyFont="1" applyFill="1" applyBorder="1" applyAlignment="1">
      <alignment vertical="center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7" fillId="2" borderId="98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92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4" fontId="7" fillId="2" borderId="192" xfId="0" applyNumberFormat="1" applyFont="1" applyFill="1" applyBorder="1" applyAlignment="1">
      <alignment horizontal="center" vertical="center"/>
    </xf>
    <xf numFmtId="4" fontId="7" fillId="2" borderId="193" xfId="0" applyNumberFormat="1" applyFont="1" applyFill="1" applyBorder="1" applyAlignment="1">
      <alignment horizontal="center" vertical="center"/>
    </xf>
    <xf numFmtId="0" fontId="1" fillId="2" borderId="194" xfId="0" applyFont="1" applyFill="1" applyBorder="1" applyAlignment="1" applyProtection="1">
      <alignment horizontal="left" vertical="center"/>
      <protection locked="0"/>
    </xf>
    <xf numFmtId="1" fontId="1" fillId="2" borderId="95" xfId="0" applyNumberFormat="1" applyFont="1" applyFill="1" applyBorder="1" applyAlignment="1" applyProtection="1">
      <alignment horizontal="center" vertical="center"/>
      <protection locked="0"/>
    </xf>
    <xf numFmtId="1" fontId="1" fillId="2" borderId="72" xfId="0" applyNumberFormat="1" applyFont="1" applyFill="1" applyBorder="1" applyAlignment="1" applyProtection="1">
      <alignment horizontal="center" vertical="center"/>
      <protection locked="0"/>
    </xf>
    <xf numFmtId="1" fontId="1" fillId="2" borderId="73" xfId="0" applyNumberFormat="1" applyFont="1" applyFill="1" applyBorder="1" applyAlignment="1" applyProtection="1">
      <alignment horizontal="center" vertical="center"/>
      <protection locked="0"/>
    </xf>
    <xf numFmtId="4" fontId="65" fillId="2" borderId="0" xfId="0" applyNumberFormat="1" applyFont="1" applyFill="1" applyAlignment="1">
      <alignment horizontal="right"/>
    </xf>
    <xf numFmtId="0" fontId="7" fillId="2" borderId="195" xfId="0" applyFont="1" applyFill="1" applyBorder="1" applyAlignment="1">
      <alignment horizontal="center" vertical="center"/>
    </xf>
    <xf numFmtId="0" fontId="7" fillId="2" borderId="196" xfId="0" applyFont="1" applyFill="1" applyBorder="1" applyAlignment="1">
      <alignment horizontal="center" vertical="center"/>
    </xf>
    <xf numFmtId="0" fontId="7" fillId="2" borderId="196" xfId="0" applyFont="1" applyFill="1" applyBorder="1" applyAlignment="1">
      <alignment horizontal="right" vertical="center"/>
    </xf>
    <xf numFmtId="4" fontId="7" fillId="2" borderId="197" xfId="0" applyNumberFormat="1" applyFont="1" applyFill="1" applyBorder="1" applyAlignment="1">
      <alignment vertical="center"/>
    </xf>
    <xf numFmtId="4" fontId="7" fillId="3" borderId="197" xfId="0" applyNumberFormat="1" applyFont="1" applyFill="1" applyBorder="1" applyAlignment="1">
      <alignment vertical="center"/>
    </xf>
    <xf numFmtId="0" fontId="7" fillId="2" borderId="198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right" vertical="center"/>
    </xf>
    <xf numFmtId="4" fontId="14" fillId="2" borderId="199" xfId="0" applyNumberFormat="1" applyFont="1" applyFill="1" applyBorder="1" applyAlignment="1">
      <alignment vertical="center"/>
    </xf>
    <xf numFmtId="4" fontId="14" fillId="3" borderId="199" xfId="0" applyNumberFormat="1" applyFont="1" applyFill="1" applyBorder="1" applyAlignment="1">
      <alignment vertical="center"/>
    </xf>
    <xf numFmtId="0" fontId="65" fillId="2" borderId="0" xfId="0" applyFont="1" applyFill="1" applyAlignment="1">
      <alignment horizontal="right"/>
    </xf>
    <xf numFmtId="0" fontId="7" fillId="2" borderId="20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4" fontId="14" fillId="2" borderId="201" xfId="0" applyNumberFormat="1" applyFont="1" applyFill="1" applyBorder="1" applyAlignment="1">
      <alignment vertical="center"/>
    </xf>
    <xf numFmtId="4" fontId="14" fillId="3" borderId="201" xfId="0" applyNumberFormat="1" applyFont="1" applyFill="1" applyBorder="1" applyAlignment="1">
      <alignment vertical="center"/>
    </xf>
    <xf numFmtId="0" fontId="7" fillId="2" borderId="184" xfId="0" applyFont="1" applyFill="1" applyBorder="1" applyAlignment="1">
      <alignment horizontal="center" vertical="center"/>
    </xf>
    <xf numFmtId="0" fontId="7" fillId="2" borderId="202" xfId="0" applyFont="1" applyFill="1" applyBorder="1" applyAlignment="1">
      <alignment horizontal="center" vertical="center"/>
    </xf>
    <xf numFmtId="0" fontId="7" fillId="2" borderId="202" xfId="0" applyFont="1" applyFill="1" applyBorder="1" applyAlignment="1">
      <alignment horizontal="right" vertical="center"/>
    </xf>
    <xf numFmtId="4" fontId="7" fillId="2" borderId="201" xfId="0" applyNumberFormat="1" applyFont="1" applyFill="1" applyBorder="1" applyAlignment="1">
      <alignment vertical="center"/>
    </xf>
    <xf numFmtId="4" fontId="7" fillId="3" borderId="201" xfId="0" applyNumberFormat="1" applyFont="1" applyFill="1" applyBorder="1" applyAlignment="1">
      <alignment vertical="center"/>
    </xf>
    <xf numFmtId="4" fontId="14" fillId="2" borderId="203" xfId="0" applyNumberFormat="1" applyFont="1" applyFill="1" applyBorder="1" applyAlignment="1">
      <alignment vertical="center"/>
    </xf>
    <xf numFmtId="4" fontId="14" fillId="3" borderId="203" xfId="0" applyNumberFormat="1" applyFont="1" applyFill="1" applyBorder="1" applyAlignment="1">
      <alignment vertical="center"/>
    </xf>
    <xf numFmtId="0" fontId="7" fillId="2" borderId="204" xfId="0" applyFont="1" applyFill="1" applyBorder="1" applyAlignment="1">
      <alignment horizontal="center" vertical="center"/>
    </xf>
    <xf numFmtId="0" fontId="7" fillId="2" borderId="205" xfId="0" applyFont="1" applyFill="1" applyBorder="1" applyAlignment="1">
      <alignment horizontal="center" vertical="center"/>
    </xf>
    <xf numFmtId="0" fontId="14" fillId="2" borderId="205" xfId="0" applyFont="1" applyFill="1" applyBorder="1" applyAlignment="1">
      <alignment horizontal="right" vertical="center"/>
    </xf>
    <xf numFmtId="4" fontId="14" fillId="2" borderId="206" xfId="0" applyNumberFormat="1" applyFont="1" applyFill="1" applyBorder="1" applyAlignment="1">
      <alignment vertical="center"/>
    </xf>
    <xf numFmtId="4" fontId="14" fillId="3" borderId="206" xfId="0" applyNumberFormat="1" applyFont="1" applyFill="1" applyBorder="1" applyAlignment="1">
      <alignment vertical="center"/>
    </xf>
    <xf numFmtId="4" fontId="38" fillId="2" borderId="0" xfId="0" applyNumberFormat="1" applyFont="1" applyFill="1" applyAlignment="1">
      <alignment horizontal="center"/>
    </xf>
    <xf numFmtId="4" fontId="19" fillId="2" borderId="207" xfId="0" applyNumberFormat="1" applyFont="1" applyFill="1" applyBorder="1" applyAlignment="1">
      <alignment horizontal="right"/>
    </xf>
    <xf numFmtId="4" fontId="18" fillId="2" borderId="0" xfId="0" applyNumberFormat="1" applyFont="1" applyFill="1" applyAlignment="1">
      <alignment horizontal="center"/>
    </xf>
    <xf numFmtId="4" fontId="19" fillId="2" borderId="0" xfId="0" applyNumberFormat="1" applyFont="1" applyFill="1" applyAlignment="1">
      <alignment horizontal="center"/>
    </xf>
    <xf numFmtId="4" fontId="68" fillId="2" borderId="0" xfId="0" applyNumberFormat="1" applyFont="1" applyFill="1" applyAlignment="1">
      <alignment horizontal="left"/>
    </xf>
    <xf numFmtId="4" fontId="68" fillId="2" borderId="0" xfId="0" applyNumberFormat="1" applyFont="1" applyFill="1" applyAlignment="1">
      <alignment horizontal="right"/>
    </xf>
    <xf numFmtId="0" fontId="1" fillId="3" borderId="95" xfId="0" applyFont="1" applyFill="1" applyBorder="1" applyAlignment="1">
      <alignment vertical="center"/>
    </xf>
    <xf numFmtId="0" fontId="64" fillId="2" borderId="54" xfId="0" applyFont="1" applyFill="1" applyBorder="1" applyAlignment="1">
      <alignment horizontal="center"/>
    </xf>
    <xf numFmtId="0" fontId="64" fillId="2" borderId="0" xfId="0" applyFont="1" applyFill="1"/>
    <xf numFmtId="4" fontId="64" fillId="2" borderId="28" xfId="0" applyNumberFormat="1" applyFont="1" applyFill="1" applyBorder="1" applyProtection="1">
      <protection locked="0"/>
    </xf>
    <xf numFmtId="4" fontId="64" fillId="2" borderId="120" xfId="0" applyNumberFormat="1" applyFont="1" applyFill="1" applyBorder="1" applyProtection="1">
      <protection locked="0"/>
    </xf>
    <xf numFmtId="4" fontId="64" fillId="2" borderId="55" xfId="0" applyNumberFormat="1" applyFont="1" applyFill="1" applyBorder="1" applyProtection="1">
      <protection locked="0"/>
    </xf>
    <xf numFmtId="0" fontId="7" fillId="2" borderId="6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13" borderId="0" xfId="0" applyFont="1" applyFill="1" applyAlignment="1">
      <alignment horizontal="center"/>
    </xf>
    <xf numFmtId="0" fontId="7" fillId="13" borderId="0" xfId="0" applyFont="1" applyFill="1"/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14" fillId="13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14" fillId="2" borderId="59" xfId="0" applyFont="1" applyFill="1" applyBorder="1" applyAlignment="1" applyProtection="1">
      <alignment horizontal="center" vertical="center"/>
      <protection locked="0"/>
    </xf>
    <xf numFmtId="0" fontId="14" fillId="2" borderId="98" xfId="0" applyFont="1" applyFill="1" applyBorder="1" applyAlignment="1" applyProtection="1">
      <alignment horizontal="center" vertical="center"/>
      <protection locked="0"/>
    </xf>
    <xf numFmtId="0" fontId="14" fillId="2" borderId="191" xfId="0" applyFont="1" applyFill="1" applyBorder="1" applyAlignment="1" applyProtection="1">
      <alignment horizontal="center" vertical="center"/>
      <protection locked="0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2" borderId="62" xfId="0" applyFont="1" applyFill="1" applyBorder="1" applyAlignment="1" applyProtection="1">
      <alignment horizontal="center" vertical="center"/>
      <protection locked="0"/>
    </xf>
    <xf numFmtId="0" fontId="14" fillId="2" borderId="92" xfId="0" applyFont="1" applyFill="1" applyBorder="1" applyAlignment="1" applyProtection="1">
      <alignment horizontal="center" vertical="center"/>
      <protection locked="0"/>
    </xf>
    <xf numFmtId="0" fontId="19" fillId="0" borderId="21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212" xfId="0" applyFont="1" applyBorder="1" applyAlignment="1" applyProtection="1">
      <alignment vertical="center"/>
      <protection locked="0"/>
    </xf>
    <xf numFmtId="0" fontId="29" fillId="2" borderId="0" xfId="0" quotePrefix="1" applyFont="1" applyFill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4" fillId="2" borderId="71" xfId="0" applyFont="1" applyFill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4" fillId="2" borderId="98" xfId="0" applyFont="1" applyFill="1" applyBorder="1" applyAlignment="1">
      <alignment horizontal="left" vertical="center"/>
    </xf>
    <xf numFmtId="4" fontId="14" fillId="2" borderId="95" xfId="0" applyNumberFormat="1" applyFont="1" applyFill="1" applyBorder="1" applyAlignment="1" applyProtection="1">
      <alignment horizontal="left" vertical="center"/>
      <protection locked="0"/>
    </xf>
    <xf numFmtId="4" fontId="14" fillId="2" borderId="199" xfId="0" applyNumberFormat="1" applyFont="1" applyFill="1" applyBorder="1" applyAlignment="1" applyProtection="1">
      <alignment horizontal="right" vertical="center"/>
      <protection locked="0"/>
    </xf>
    <xf numFmtId="4" fontId="14" fillId="2" borderId="179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/>
    </xf>
    <xf numFmtId="0" fontId="14" fillId="2" borderId="60" xfId="0" applyFont="1" applyFill="1" applyBorder="1" applyAlignment="1">
      <alignment horizontal="left" vertical="center"/>
    </xf>
    <xf numFmtId="0" fontId="14" fillId="2" borderId="62" xfId="0" applyFont="1" applyFill="1" applyBorder="1" applyAlignment="1">
      <alignment vertical="center"/>
    </xf>
    <xf numFmtId="4" fontId="14" fillId="2" borderId="201" xfId="0" applyNumberFormat="1" applyFont="1" applyFill="1" applyBorder="1" applyAlignment="1" applyProtection="1">
      <alignment horizontal="right" vertical="center"/>
      <protection locked="0"/>
    </xf>
    <xf numFmtId="4" fontId="14" fillId="2" borderId="181" xfId="0" applyNumberFormat="1" applyFont="1" applyFill="1" applyBorder="1" applyAlignment="1" applyProtection="1">
      <alignment horizontal="right" vertical="center"/>
      <protection locked="0"/>
    </xf>
    <xf numFmtId="0" fontId="14" fillId="2" borderId="95" xfId="0" applyFont="1" applyFill="1" applyBorder="1" applyAlignment="1">
      <alignment horizontal="left" vertical="center"/>
    </xf>
    <xf numFmtId="0" fontId="14" fillId="2" borderId="6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14" fillId="2" borderId="54" xfId="0" applyFont="1" applyFill="1" applyBorder="1" applyAlignment="1">
      <alignment vertical="center"/>
    </xf>
    <xf numFmtId="0" fontId="14" fillId="2" borderId="55" xfId="0" applyFont="1" applyFill="1" applyBorder="1" applyAlignment="1">
      <alignment vertical="center"/>
    </xf>
    <xf numFmtId="0" fontId="14" fillId="2" borderId="55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4" fillId="2" borderId="199" xfId="0" applyFont="1" applyFill="1" applyBorder="1" applyAlignment="1">
      <alignment horizontal="left" vertical="center"/>
    </xf>
    <xf numFmtId="0" fontId="7" fillId="2" borderId="179" xfId="0" applyFont="1" applyFill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2" borderId="180" xfId="0" applyFont="1" applyFill="1" applyBorder="1" applyAlignment="1">
      <alignment horizontal="left" vertical="center"/>
    </xf>
    <xf numFmtId="0" fontId="13" fillId="2" borderId="181" xfId="0" applyFont="1" applyFill="1" applyBorder="1" applyAlignment="1">
      <alignment horizontal="left" vertical="center"/>
    </xf>
    <xf numFmtId="0" fontId="14" fillId="2" borderId="180" xfId="0" applyFont="1" applyFill="1" applyBorder="1" applyAlignment="1">
      <alignment vertical="center"/>
    </xf>
    <xf numFmtId="0" fontId="14" fillId="2" borderId="181" xfId="0" applyFont="1" applyFill="1" applyBorder="1" applyAlignment="1">
      <alignment vertical="center"/>
    </xf>
    <xf numFmtId="0" fontId="14" fillId="0" borderId="98" xfId="0" applyFont="1" applyBorder="1" applyAlignment="1">
      <alignment horizontal="left" vertical="center"/>
    </xf>
    <xf numFmtId="0" fontId="14" fillId="2" borderId="182" xfId="0" applyFont="1" applyFill="1" applyBorder="1" applyAlignment="1">
      <alignment vertical="center"/>
    </xf>
    <xf numFmtId="0" fontId="14" fillId="2" borderId="183" xfId="0" applyFont="1" applyFill="1" applyBorder="1" applyAlignment="1">
      <alignment vertical="center"/>
    </xf>
    <xf numFmtId="4" fontId="1" fillId="3" borderId="15" xfId="0" applyNumberFormat="1" applyFont="1" applyFill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" fillId="2" borderId="93" xfId="0" applyFont="1" applyFill="1" applyBorder="1" applyAlignment="1" applyProtection="1">
      <alignment vertical="center"/>
      <protection locked="0"/>
    </xf>
    <xf numFmtId="14" fontId="1" fillId="2" borderId="95" xfId="0" applyNumberFormat="1" applyFont="1" applyFill="1" applyBorder="1" applyAlignment="1" applyProtection="1">
      <alignment horizontal="center" vertical="center"/>
      <protection locked="0"/>
    </xf>
    <xf numFmtId="4" fontId="1" fillId="2" borderId="62" xfId="0" applyNumberFormat="1" applyFont="1" applyFill="1" applyBorder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left"/>
      <protection locked="0"/>
    </xf>
    <xf numFmtId="4" fontId="69" fillId="0" borderId="0" xfId="0" applyNumberFormat="1" applyFont="1" applyAlignment="1" applyProtection="1">
      <alignment horizontal="right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59" xfId="0" applyFont="1" applyFill="1" applyBorder="1" applyAlignment="1" applyProtection="1">
      <alignment vertical="center"/>
      <protection locked="0"/>
    </xf>
    <xf numFmtId="4" fontId="1" fillId="2" borderId="71" xfId="0" applyNumberFormat="1" applyFont="1" applyFill="1" applyBorder="1" applyAlignment="1" applyProtection="1">
      <alignment horizontal="left" vertical="center"/>
      <protection locked="0"/>
    </xf>
    <xf numFmtId="0" fontId="1" fillId="2" borderId="65" xfId="0" applyFont="1" applyFill="1" applyBorder="1" applyAlignment="1" applyProtection="1">
      <alignment horizontal="left" vertical="center"/>
      <protection locked="0"/>
    </xf>
    <xf numFmtId="4" fontId="60" fillId="2" borderId="40" xfId="0" applyNumberFormat="1" applyFont="1" applyFill="1" applyBorder="1" applyProtection="1">
      <protection locked="0"/>
    </xf>
    <xf numFmtId="0" fontId="1" fillId="2" borderId="62" xfId="0" applyFont="1" applyFill="1" applyBorder="1" applyAlignment="1" applyProtection="1">
      <alignment horizontal="left" vertical="center"/>
      <protection locked="0"/>
    </xf>
    <xf numFmtId="0" fontId="1" fillId="2" borderId="67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13" borderId="0" xfId="0" applyFont="1" applyFill="1"/>
    <xf numFmtId="0" fontId="2" fillId="2" borderId="72" xfId="0" applyFont="1" applyFill="1" applyBorder="1" applyAlignment="1">
      <alignment vertical="center"/>
    </xf>
    <xf numFmtId="0" fontId="2" fillId="3" borderId="72" xfId="0" applyFont="1" applyFill="1" applyBorder="1" applyAlignment="1">
      <alignment vertical="center"/>
    </xf>
    <xf numFmtId="0" fontId="2" fillId="2" borderId="72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" fillId="2" borderId="73" xfId="0" applyFont="1" applyFill="1" applyBorder="1" applyAlignment="1">
      <alignment vertical="center"/>
    </xf>
    <xf numFmtId="0" fontId="1" fillId="3" borderId="73" xfId="0" applyFont="1" applyFill="1" applyBorder="1" applyAlignment="1">
      <alignment vertical="center"/>
    </xf>
    <xf numFmtId="0" fontId="1" fillId="2" borderId="7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Protection="1">
      <protection locked="0"/>
    </xf>
    <xf numFmtId="4" fontId="1" fillId="2" borderId="72" xfId="0" applyNumberFormat="1" applyFont="1" applyFill="1" applyBorder="1" applyAlignment="1" applyProtection="1">
      <alignment horizontal="left" vertical="center"/>
      <protection locked="0"/>
    </xf>
    <xf numFmtId="4" fontId="1" fillId="2" borderId="73" xfId="0" applyNumberFormat="1" applyFont="1" applyFill="1" applyBorder="1" applyAlignment="1" applyProtection="1">
      <alignment horizontal="left" vertical="center"/>
      <protection locked="0"/>
    </xf>
    <xf numFmtId="4" fontId="1" fillId="2" borderId="71" xfId="0" applyNumberFormat="1" applyFont="1" applyFill="1" applyBorder="1" applyAlignment="1" applyProtection="1">
      <alignment vertical="center"/>
      <protection locked="0"/>
    </xf>
    <xf numFmtId="0" fontId="1" fillId="2" borderId="71" xfId="0" applyFont="1" applyFill="1" applyBorder="1" applyAlignment="1" applyProtection="1">
      <alignment horizontal="left" vertical="center"/>
      <protection locked="0"/>
    </xf>
    <xf numFmtId="4" fontId="1" fillId="2" borderId="131" xfId="0" applyNumberFormat="1" applyFont="1" applyFill="1" applyBorder="1" applyAlignment="1">
      <alignment horizontal="left" vertical="center"/>
    </xf>
    <xf numFmtId="4" fontId="1" fillId="2" borderId="134" xfId="0" applyNumberFormat="1" applyFont="1" applyFill="1" applyBorder="1" applyAlignment="1">
      <alignment horizontal="left" vertical="center"/>
    </xf>
    <xf numFmtId="4" fontId="1" fillId="2" borderId="132" xfId="0" applyNumberFormat="1" applyFont="1" applyFill="1" applyBorder="1" applyAlignment="1">
      <alignment horizontal="left" vertical="center"/>
    </xf>
    <xf numFmtId="4" fontId="1" fillId="2" borderId="60" xfId="0" applyNumberFormat="1" applyFont="1" applyFill="1" applyBorder="1" applyAlignment="1" applyProtection="1">
      <alignment horizontal="left" vertical="center"/>
      <protection locked="0"/>
    </xf>
    <xf numFmtId="4" fontId="1" fillId="2" borderId="61" xfId="0" applyNumberFormat="1" applyFont="1" applyFill="1" applyBorder="1" applyAlignment="1" applyProtection="1">
      <alignment horizontal="left" vertical="center"/>
      <protection locked="0"/>
    </xf>
    <xf numFmtId="4" fontId="1" fillId="2" borderId="61" xfId="0" applyNumberFormat="1" applyFont="1" applyFill="1" applyBorder="1" applyAlignment="1">
      <alignment horizontal="left" vertical="center"/>
    </xf>
    <xf numFmtId="4" fontId="1" fillId="2" borderId="62" xfId="0" applyNumberFormat="1" applyFont="1" applyFill="1" applyBorder="1" applyAlignment="1">
      <alignment horizontal="left" vertical="center"/>
    </xf>
    <xf numFmtId="4" fontId="1" fillId="2" borderId="87" xfId="0" applyNumberFormat="1" applyFont="1" applyFill="1" applyBorder="1" applyAlignment="1" applyProtection="1">
      <alignment horizontal="left" vertical="center"/>
      <protection locked="0"/>
    </xf>
    <xf numFmtId="4" fontId="1" fillId="2" borderId="88" xfId="0" applyNumberFormat="1" applyFont="1" applyFill="1" applyBorder="1" applyAlignment="1" applyProtection="1">
      <alignment horizontal="left" vertical="center"/>
      <protection locked="0"/>
    </xf>
    <xf numFmtId="4" fontId="1" fillId="2" borderId="92" xfId="0" applyNumberFormat="1" applyFont="1" applyFill="1" applyBorder="1" applyAlignment="1" applyProtection="1">
      <alignment horizontal="left" vertical="center"/>
      <protection locked="0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1" fillId="2" borderId="64" xfId="0" applyNumberFormat="1" applyFont="1" applyFill="1" applyBorder="1" applyAlignment="1" applyProtection="1">
      <alignment horizontal="left" vertical="center"/>
      <protection locked="0"/>
    </xf>
    <xf numFmtId="4" fontId="1" fillId="2" borderId="65" xfId="0" applyNumberFormat="1" applyFont="1" applyFill="1" applyBorder="1" applyAlignment="1" applyProtection="1">
      <alignment horizontal="left" vertical="center"/>
      <protection locked="0"/>
    </xf>
    <xf numFmtId="0" fontId="1" fillId="2" borderId="57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4" fontId="1" fillId="2" borderId="57" xfId="0" applyNumberFormat="1" applyFont="1" applyFill="1" applyBorder="1" applyAlignment="1" applyProtection="1">
      <alignment horizontal="left" vertical="center"/>
      <protection locked="0"/>
    </xf>
    <xf numFmtId="4" fontId="1" fillId="2" borderId="58" xfId="0" applyNumberFormat="1" applyFont="1" applyFill="1" applyBorder="1" applyAlignment="1" applyProtection="1">
      <alignment horizontal="left" vertical="center"/>
      <protection locked="0"/>
    </xf>
    <xf numFmtId="4" fontId="1" fillId="2" borderId="59" xfId="0" applyNumberFormat="1" applyFont="1" applyFill="1" applyBorder="1" applyAlignment="1" applyProtection="1">
      <alignment horizontal="left" vertical="center"/>
      <protection locked="0"/>
    </xf>
    <xf numFmtId="0" fontId="1" fillId="2" borderId="63" xfId="0" applyFont="1" applyFill="1" applyBorder="1" applyAlignment="1">
      <alignment vertical="center"/>
    </xf>
    <xf numFmtId="0" fontId="1" fillId="2" borderId="65" xfId="0" applyFont="1" applyFill="1" applyBorder="1" applyAlignment="1">
      <alignment vertical="center"/>
    </xf>
    <xf numFmtId="0" fontId="1" fillId="2" borderId="93" xfId="0" applyFont="1" applyFill="1" applyBorder="1" applyAlignment="1">
      <alignment vertical="center"/>
    </xf>
    <xf numFmtId="0" fontId="1" fillId="2" borderId="98" xfId="0" applyFont="1" applyFill="1" applyBorder="1" applyAlignment="1">
      <alignment vertical="center"/>
    </xf>
    <xf numFmtId="4" fontId="1" fillId="2" borderId="93" xfId="0" applyNumberFormat="1" applyFont="1" applyFill="1" applyBorder="1" applyAlignment="1" applyProtection="1">
      <alignment horizontal="left" vertical="center"/>
      <protection locked="0"/>
    </xf>
    <xf numFmtId="4" fontId="1" fillId="2" borderId="94" xfId="0" applyNumberFormat="1" applyFont="1" applyFill="1" applyBorder="1" applyAlignment="1" applyProtection="1">
      <alignment horizontal="left" vertical="center"/>
      <protection locked="0"/>
    </xf>
    <xf numFmtId="4" fontId="1" fillId="2" borderId="98" xfId="0" applyNumberFormat="1" applyFont="1" applyFill="1" applyBorder="1" applyAlignment="1" applyProtection="1">
      <alignment horizontal="left" vertical="center"/>
      <protection locked="0"/>
    </xf>
    <xf numFmtId="0" fontId="1" fillId="2" borderId="60" xfId="0" applyFont="1" applyFill="1" applyBorder="1" applyAlignment="1">
      <alignment vertical="center"/>
    </xf>
    <xf numFmtId="0" fontId="1" fillId="2" borderId="87" xfId="0" applyFont="1" applyFill="1" applyBorder="1" applyAlignment="1">
      <alignment vertical="center"/>
    </xf>
    <xf numFmtId="0" fontId="1" fillId="2" borderId="92" xfId="0" applyFont="1" applyFill="1" applyBorder="1" applyAlignment="1">
      <alignment vertical="center"/>
    </xf>
    <xf numFmtId="0" fontId="1" fillId="2" borderId="58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vertical="center"/>
    </xf>
    <xf numFmtId="4" fontId="1" fillId="2" borderId="0" xfId="0" applyNumberFormat="1" applyFont="1" applyFill="1" applyAlignment="1" applyProtection="1">
      <alignment vertical="center"/>
      <protection locked="0"/>
    </xf>
    <xf numFmtId="4" fontId="1" fillId="2" borderId="0" xfId="0" applyNumberFormat="1" applyFont="1" applyFill="1" applyAlignment="1" applyProtection="1">
      <alignment horizontal="left" vertical="center"/>
      <protection locked="0"/>
    </xf>
    <xf numFmtId="0" fontId="1" fillId="3" borderId="31" xfId="0" applyFont="1" applyFill="1" applyBorder="1" applyAlignment="1">
      <alignment horizontal="left" vertical="center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3" fontId="1" fillId="2" borderId="35" xfId="0" applyNumberFormat="1" applyFont="1" applyFill="1" applyBorder="1" applyAlignment="1" applyProtection="1">
      <alignment horizontal="center" vertical="center"/>
      <protection locked="0"/>
    </xf>
    <xf numFmtId="4" fontId="1" fillId="2" borderId="35" xfId="0" applyNumberFormat="1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4" fontId="1" fillId="2" borderId="36" xfId="0" applyNumberFormat="1" applyFont="1" applyFill="1" applyBorder="1" applyAlignment="1" applyProtection="1">
      <alignment vertical="center"/>
      <protection locked="0"/>
    </xf>
    <xf numFmtId="3" fontId="1" fillId="2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quotePrefix="1" applyFont="1" applyFill="1" applyAlignment="1">
      <alignment horizontal="left" vertical="center"/>
    </xf>
    <xf numFmtId="3" fontId="1" fillId="2" borderId="0" xfId="0" applyNumberFormat="1" applyFont="1" applyFill="1" applyAlignment="1">
      <alignment horizontal="center" vertical="center"/>
    </xf>
    <xf numFmtId="4" fontId="1" fillId="2" borderId="75" xfId="0" applyNumberFormat="1" applyFont="1" applyFill="1" applyBorder="1" applyAlignment="1" applyProtection="1">
      <alignment vertical="center"/>
      <protection locked="0"/>
    </xf>
    <xf numFmtId="4" fontId="1" fillId="2" borderId="76" xfId="0" applyNumberFormat="1" applyFont="1" applyFill="1" applyBorder="1" applyAlignment="1" applyProtection="1">
      <alignment vertical="center"/>
      <protection locked="0"/>
    </xf>
    <xf numFmtId="4" fontId="1" fillId="2" borderId="77" xfId="0" applyNumberFormat="1" applyFont="1" applyFill="1" applyBorder="1" applyAlignment="1" applyProtection="1">
      <alignment vertical="center"/>
      <protection locked="0"/>
    </xf>
    <xf numFmtId="4" fontId="1" fillId="2" borderId="78" xfId="0" applyNumberFormat="1" applyFont="1" applyFill="1" applyBorder="1" applyAlignment="1" applyProtection="1">
      <alignment vertical="center"/>
      <protection locked="0"/>
    </xf>
    <xf numFmtId="4" fontId="1" fillId="2" borderId="80" xfId="0" applyNumberFormat="1" applyFont="1" applyFill="1" applyBorder="1" applyAlignment="1" applyProtection="1">
      <alignment vertical="center"/>
      <protection locked="0"/>
    </xf>
    <xf numFmtId="4" fontId="1" fillId="2" borderId="81" xfId="0" applyNumberFormat="1" applyFont="1" applyFill="1" applyBorder="1" applyAlignment="1" applyProtection="1">
      <alignment vertical="center"/>
      <protection locked="0"/>
    </xf>
    <xf numFmtId="4" fontId="1" fillId="2" borderId="83" xfId="0" applyNumberFormat="1" applyFont="1" applyFill="1" applyBorder="1" applyAlignment="1" applyProtection="1">
      <alignment vertical="center"/>
      <protection locked="0"/>
    </xf>
    <xf numFmtId="4" fontId="1" fillId="2" borderId="66" xfId="0" applyNumberFormat="1" applyFont="1" applyFill="1" applyBorder="1" applyAlignment="1" applyProtection="1">
      <alignment horizontal="right" vertical="center"/>
      <protection locked="0"/>
    </xf>
    <xf numFmtId="4" fontId="1" fillId="2" borderId="84" xfId="0" applyNumberFormat="1" applyFont="1" applyFill="1" applyBorder="1" applyAlignment="1" applyProtection="1">
      <alignment horizontal="right" vertical="center"/>
      <protection locked="0"/>
    </xf>
    <xf numFmtId="4" fontId="1" fillId="2" borderId="85" xfId="0" applyNumberFormat="1" applyFont="1" applyFill="1" applyBorder="1" applyAlignment="1" applyProtection="1">
      <alignment horizontal="right" vertical="center"/>
      <protection locked="0"/>
    </xf>
    <xf numFmtId="4" fontId="1" fillId="2" borderId="86" xfId="0" applyNumberFormat="1" applyFont="1" applyFill="1" applyBorder="1" applyAlignment="1" applyProtection="1">
      <alignment horizontal="right" vertical="center"/>
      <protection locked="0"/>
    </xf>
    <xf numFmtId="4" fontId="1" fillId="2" borderId="69" xfId="0" applyNumberFormat="1" applyFont="1" applyFill="1" applyBorder="1" applyAlignment="1" applyProtection="1">
      <alignment horizontal="left" vertical="center"/>
      <protection locked="0"/>
    </xf>
    <xf numFmtId="0" fontId="2" fillId="2" borderId="95" xfId="0" applyFont="1" applyFill="1" applyBorder="1" applyAlignment="1" applyProtection="1">
      <alignment horizontal="center" vertical="center"/>
      <protection locked="0"/>
    </xf>
    <xf numFmtId="4" fontId="1" fillId="2" borderId="96" xfId="0" applyNumberFormat="1" applyFont="1" applyFill="1" applyBorder="1" applyAlignment="1" applyProtection="1">
      <alignment vertical="center"/>
      <protection locked="0"/>
    </xf>
    <xf numFmtId="10" fontId="1" fillId="2" borderId="98" xfId="131" applyNumberFormat="1" applyFont="1" applyFill="1" applyBorder="1" applyAlignment="1" applyProtection="1">
      <alignment vertical="center"/>
      <protection locked="0"/>
    </xf>
    <xf numFmtId="4" fontId="1" fillId="2" borderId="98" xfId="0" applyNumberFormat="1" applyFont="1" applyFill="1" applyBorder="1" applyAlignment="1" applyProtection="1">
      <alignment vertical="center"/>
      <protection locked="0"/>
    </xf>
    <xf numFmtId="0" fontId="1" fillId="2" borderId="98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10" fontId="1" fillId="2" borderId="62" xfId="131" applyNumberFormat="1" applyFont="1" applyFill="1" applyBorder="1" applyAlignment="1" applyProtection="1">
      <alignment vertical="center"/>
      <protection locked="0"/>
    </xf>
    <xf numFmtId="4" fontId="1" fillId="2" borderId="62" xfId="0" applyNumberFormat="1" applyFont="1" applyFill="1" applyBorder="1" applyAlignment="1" applyProtection="1">
      <alignment vertical="center"/>
      <protection locked="0"/>
    </xf>
    <xf numFmtId="0" fontId="2" fillId="2" borderId="89" xfId="0" applyFont="1" applyFill="1" applyBorder="1" applyAlignment="1" applyProtection="1">
      <alignment horizontal="center" vertical="center"/>
      <protection locked="0"/>
    </xf>
    <xf numFmtId="4" fontId="1" fillId="2" borderId="90" xfId="0" applyNumberFormat="1" applyFont="1" applyFill="1" applyBorder="1" applyAlignment="1" applyProtection="1">
      <alignment vertical="center"/>
      <protection locked="0"/>
    </xf>
    <xf numFmtId="10" fontId="1" fillId="2" borderId="92" xfId="131" applyNumberFormat="1" applyFont="1" applyFill="1" applyBorder="1" applyAlignment="1" applyProtection="1">
      <alignment vertical="center"/>
      <protection locked="0"/>
    </xf>
    <xf numFmtId="4" fontId="1" fillId="2" borderId="92" xfId="0" applyNumberFormat="1" applyFont="1" applyFill="1" applyBorder="1" applyAlignment="1" applyProtection="1">
      <alignment vertical="center"/>
      <protection locked="0"/>
    </xf>
    <xf numFmtId="0" fontId="1" fillId="2" borderId="92" xfId="0" applyFont="1" applyFill="1" applyBorder="1" applyAlignment="1" applyProtection="1">
      <alignment horizontal="left" vertical="center"/>
      <protection locked="0"/>
    </xf>
    <xf numFmtId="0" fontId="1" fillId="2" borderId="63" xfId="0" applyFont="1" applyFill="1" applyBorder="1" applyAlignment="1" applyProtection="1">
      <alignment horizontal="left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10" fontId="1" fillId="2" borderId="65" xfId="131" applyNumberFormat="1" applyFont="1" applyFill="1" applyBorder="1" applyAlignment="1" applyProtection="1">
      <alignment vertical="center"/>
      <protection locked="0"/>
    </xf>
    <xf numFmtId="4" fontId="1" fillId="2" borderId="65" xfId="0" applyNumberFormat="1" applyFont="1" applyFill="1" applyBorder="1" applyAlignment="1" applyProtection="1">
      <alignment vertical="center"/>
      <protection locked="0"/>
    </xf>
    <xf numFmtId="4" fontId="1" fillId="2" borderId="98" xfId="131" applyNumberFormat="1" applyFont="1" applyFill="1" applyBorder="1" applyAlignment="1" applyProtection="1">
      <alignment vertical="center"/>
      <protection locked="0"/>
    </xf>
    <xf numFmtId="4" fontId="1" fillId="2" borderId="62" xfId="131" applyNumberFormat="1" applyFont="1" applyFill="1" applyBorder="1" applyAlignment="1" applyProtection="1">
      <alignment vertical="center"/>
      <protection locked="0"/>
    </xf>
    <xf numFmtId="4" fontId="1" fillId="2" borderId="92" xfId="131" applyNumberFormat="1" applyFont="1" applyFill="1" applyBorder="1" applyAlignment="1" applyProtection="1">
      <alignment vertical="center"/>
      <protection locked="0"/>
    </xf>
    <xf numFmtId="4" fontId="1" fillId="2" borderId="65" xfId="131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left"/>
    </xf>
    <xf numFmtId="4" fontId="1" fillId="2" borderId="60" xfId="0" applyNumberFormat="1" applyFont="1" applyFill="1" applyBorder="1" applyAlignment="1" applyProtection="1">
      <alignment vertical="center"/>
      <protection locked="0"/>
    </xf>
    <xf numFmtId="4" fontId="1" fillId="2" borderId="59" xfId="0" applyNumberFormat="1" applyFont="1" applyFill="1" applyBorder="1" applyAlignment="1" applyProtection="1">
      <alignment vertical="center"/>
      <protection locked="0"/>
    </xf>
    <xf numFmtId="4" fontId="1" fillId="2" borderId="145" xfId="0" applyNumberFormat="1" applyFont="1" applyFill="1" applyBorder="1" applyAlignment="1">
      <alignment vertical="center"/>
    </xf>
    <xf numFmtId="4" fontId="1" fillId="2" borderId="150" xfId="0" applyNumberFormat="1" applyFont="1" applyFill="1" applyBorder="1" applyAlignment="1" applyProtection="1">
      <alignment vertical="center"/>
      <protection locked="0"/>
    </xf>
    <xf numFmtId="4" fontId="1" fillId="2" borderId="59" xfId="0" applyNumberFormat="1" applyFont="1" applyFill="1" applyBorder="1" applyAlignment="1">
      <alignment vertical="center"/>
    </xf>
    <xf numFmtId="4" fontId="1" fillId="2" borderId="156" xfId="0" applyNumberFormat="1" applyFont="1" applyFill="1" applyBorder="1" applyAlignment="1" applyProtection="1">
      <alignment vertical="center"/>
      <protection locked="0"/>
    </xf>
    <xf numFmtId="0" fontId="1" fillId="2" borderId="59" xfId="0" applyFont="1" applyFill="1" applyBorder="1" applyAlignment="1" applyProtection="1">
      <alignment horizontal="center" vertical="center"/>
      <protection locked="0"/>
    </xf>
    <xf numFmtId="4" fontId="1" fillId="2" borderId="146" xfId="0" applyNumberFormat="1" applyFont="1" applyFill="1" applyBorder="1" applyAlignment="1">
      <alignment vertical="center"/>
    </xf>
    <xf numFmtId="4" fontId="1" fillId="2" borderId="151" xfId="0" applyNumberFormat="1" applyFont="1" applyFill="1" applyBorder="1" applyAlignment="1" applyProtection="1">
      <alignment vertical="center"/>
      <protection locked="0"/>
    </xf>
    <xf numFmtId="4" fontId="1" fillId="2" borderId="98" xfId="0" applyNumberFormat="1" applyFont="1" applyFill="1" applyBorder="1" applyAlignment="1">
      <alignment vertical="center"/>
    </xf>
    <xf numFmtId="4" fontId="1" fillId="2" borderId="157" xfId="0" applyNumberFormat="1" applyFont="1" applyFill="1" applyBorder="1" applyAlignment="1" applyProtection="1">
      <alignment vertical="center"/>
      <protection locked="0"/>
    </xf>
    <xf numFmtId="0" fontId="1" fillId="2" borderId="98" xfId="0" applyFont="1" applyFill="1" applyBorder="1" applyAlignment="1" applyProtection="1">
      <alignment horizontal="center" vertical="center"/>
      <protection locked="0"/>
    </xf>
    <xf numFmtId="4" fontId="1" fillId="2" borderId="152" xfId="0" applyNumberFormat="1" applyFont="1" applyFill="1" applyBorder="1" applyAlignment="1" applyProtection="1">
      <alignment vertical="center"/>
      <protection locked="0"/>
    </xf>
    <xf numFmtId="4" fontId="1" fillId="2" borderId="158" xfId="0" applyNumberFormat="1" applyFont="1" applyFill="1" applyBorder="1" applyAlignment="1" applyProtection="1">
      <alignment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4" fontId="1" fillId="2" borderId="153" xfId="0" applyNumberFormat="1" applyFont="1" applyFill="1" applyBorder="1" applyAlignment="1" applyProtection="1">
      <alignment vertical="center"/>
      <protection locked="0"/>
    </xf>
    <xf numFmtId="4" fontId="1" fillId="2" borderId="159" xfId="0" applyNumberFormat="1" applyFont="1" applyFill="1" applyBorder="1" applyAlignment="1" applyProtection="1">
      <alignment vertical="center"/>
      <protection locked="0"/>
    </xf>
    <xf numFmtId="0" fontId="1" fillId="2" borderId="92" xfId="0" applyFont="1" applyFill="1" applyBorder="1" applyAlignment="1" applyProtection="1">
      <alignment horizontal="center" vertical="center"/>
      <protection locked="0"/>
    </xf>
    <xf numFmtId="4" fontId="1" fillId="2" borderId="147" xfId="0" applyNumberFormat="1" applyFont="1" applyFill="1" applyBorder="1" applyAlignment="1">
      <alignment vertical="center"/>
    </xf>
    <xf numFmtId="4" fontId="1" fillId="2" borderId="154" xfId="0" applyNumberFormat="1" applyFont="1" applyFill="1" applyBorder="1" applyAlignment="1" applyProtection="1">
      <alignment vertical="center"/>
      <protection locked="0"/>
    </xf>
    <xf numFmtId="4" fontId="1" fillId="2" borderId="65" xfId="0" applyNumberFormat="1" applyFont="1" applyFill="1" applyBorder="1" applyAlignment="1">
      <alignment vertical="center"/>
    </xf>
    <xf numFmtId="4" fontId="1" fillId="2" borderId="160" xfId="0" applyNumberFormat="1" applyFont="1" applyFill="1" applyBorder="1" applyAlignment="1" applyProtection="1">
      <alignment vertical="center"/>
      <protection locked="0"/>
    </xf>
    <xf numFmtId="4" fontId="1" fillId="2" borderId="16" xfId="0" applyNumberFormat="1" applyFont="1" applyFill="1" applyBorder="1" applyAlignment="1" applyProtection="1">
      <alignment vertical="center"/>
      <protection locked="0"/>
    </xf>
    <xf numFmtId="4" fontId="1" fillId="2" borderId="148" xfId="0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98" xfId="0" applyFont="1" applyFill="1" applyBorder="1" applyAlignment="1" applyProtection="1">
      <alignment vertical="center"/>
      <protection locked="0"/>
    </xf>
    <xf numFmtId="0" fontId="1" fillId="2" borderId="65" xfId="0" applyFont="1" applyFill="1" applyBorder="1" applyAlignment="1" applyProtection="1">
      <alignment horizontal="center" vertical="center"/>
      <protection locked="0"/>
    </xf>
    <xf numFmtId="4" fontId="1" fillId="2" borderId="104" xfId="0" applyNumberFormat="1" applyFont="1" applyFill="1" applyBorder="1" applyAlignment="1" applyProtection="1">
      <alignment horizontal="right" vertical="center"/>
      <protection locked="0"/>
    </xf>
    <xf numFmtId="4" fontId="1" fillId="2" borderId="82" xfId="0" applyNumberFormat="1" applyFont="1" applyFill="1" applyBorder="1" applyAlignment="1" applyProtection="1">
      <alignment horizontal="right" vertical="center"/>
      <protection locked="0"/>
    </xf>
    <xf numFmtId="4" fontId="1" fillId="2" borderId="102" xfId="0" applyNumberFormat="1" applyFont="1" applyFill="1" applyBorder="1" applyAlignment="1" applyProtection="1">
      <alignment horizontal="right" vertical="center"/>
      <protection locked="0"/>
    </xf>
    <xf numFmtId="4" fontId="1" fillId="2" borderId="97" xfId="0" applyNumberFormat="1" applyFont="1" applyFill="1" applyBorder="1" applyAlignment="1" applyProtection="1">
      <alignment horizontal="right" vertical="center"/>
      <protection locked="0"/>
    </xf>
    <xf numFmtId="4" fontId="1" fillId="2" borderId="0" xfId="0" applyNumberFormat="1" applyFont="1" applyFill="1" applyAlignment="1" applyProtection="1">
      <alignment horizontal="right" vertical="center"/>
      <protection locked="0"/>
    </xf>
    <xf numFmtId="4" fontId="1" fillId="2" borderId="77" xfId="0" applyNumberFormat="1" applyFont="1" applyFill="1" applyBorder="1" applyAlignment="1" applyProtection="1">
      <alignment horizontal="right" vertical="center"/>
      <protection locked="0"/>
    </xf>
    <xf numFmtId="4" fontId="1" fillId="2" borderId="94" xfId="0" applyNumberFormat="1" applyFont="1" applyFill="1" applyBorder="1" applyAlignment="1" applyProtection="1">
      <alignment horizontal="right" vertical="center"/>
      <protection locked="0"/>
    </xf>
    <xf numFmtId="0" fontId="1" fillId="2" borderId="65" xfId="0" applyFont="1" applyFill="1" applyBorder="1" applyAlignment="1">
      <alignment horizontal="left" vertical="center"/>
    </xf>
    <xf numFmtId="4" fontId="1" fillId="2" borderId="64" xfId="0" applyNumberFormat="1" applyFont="1" applyFill="1" applyBorder="1" applyAlignment="1" applyProtection="1">
      <alignment horizontal="right" vertical="center"/>
      <protection locked="0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0" fontId="1" fillId="2" borderId="57" xfId="0" applyFont="1" applyFill="1" applyBorder="1" applyProtection="1">
      <protection locked="0"/>
    </xf>
    <xf numFmtId="0" fontId="1" fillId="2" borderId="58" xfId="0" applyFont="1" applyFill="1" applyBorder="1" applyProtection="1">
      <protection locked="0"/>
    </xf>
    <xf numFmtId="0" fontId="1" fillId="2" borderId="59" xfId="0" applyFont="1" applyFill="1" applyBorder="1" applyProtection="1">
      <protection locked="0"/>
    </xf>
    <xf numFmtId="0" fontId="1" fillId="2" borderId="60" xfId="0" applyFont="1" applyFill="1" applyBorder="1" applyProtection="1">
      <protection locked="0"/>
    </xf>
    <xf numFmtId="0" fontId="1" fillId="2" borderId="61" xfId="0" applyFont="1" applyFill="1" applyBorder="1" applyProtection="1">
      <protection locked="0"/>
    </xf>
    <xf numFmtId="0" fontId="1" fillId="2" borderId="62" xfId="0" applyFont="1" applyFill="1" applyBorder="1" applyProtection="1">
      <protection locked="0"/>
    </xf>
    <xf numFmtId="0" fontId="1" fillId="2" borderId="63" xfId="0" applyFont="1" applyFill="1" applyBorder="1" applyProtection="1">
      <protection locked="0"/>
    </xf>
    <xf numFmtId="0" fontId="1" fillId="2" borderId="64" xfId="0" applyFont="1" applyFill="1" applyBorder="1" applyProtection="1">
      <protection locked="0"/>
    </xf>
    <xf numFmtId="0" fontId="1" fillId="2" borderId="65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165" fontId="1" fillId="2" borderId="108" xfId="0" applyNumberFormat="1" applyFont="1" applyFill="1" applyBorder="1" applyAlignment="1" applyProtection="1">
      <alignment horizontal="right" vertical="center"/>
      <protection locked="0"/>
    </xf>
    <xf numFmtId="165" fontId="1" fillId="2" borderId="80" xfId="0" applyNumberFormat="1" applyFont="1" applyFill="1" applyBorder="1" applyAlignment="1" applyProtection="1">
      <alignment horizontal="right" vertical="center"/>
      <protection locked="0"/>
    </xf>
    <xf numFmtId="165" fontId="1" fillId="2" borderId="83" xfId="0" applyNumberFormat="1" applyFont="1" applyFill="1" applyBorder="1" applyAlignment="1" applyProtection="1">
      <alignment horizontal="right" vertical="center"/>
      <protection locked="0"/>
    </xf>
    <xf numFmtId="4" fontId="1" fillId="2" borderId="95" xfId="0" applyNumberFormat="1" applyFont="1" applyFill="1" applyBorder="1" applyAlignment="1">
      <alignment vertical="center"/>
    </xf>
    <xf numFmtId="4" fontId="1" fillId="2" borderId="73" xfId="0" applyNumberFormat="1" applyFont="1" applyFill="1" applyBorder="1" applyAlignment="1">
      <alignment vertical="center"/>
    </xf>
    <xf numFmtId="4" fontId="1" fillId="2" borderId="59" xfId="0" applyNumberFormat="1" applyFont="1" applyFill="1" applyBorder="1" applyAlignment="1">
      <alignment horizontal="left" vertical="center"/>
    </xf>
    <xf numFmtId="4" fontId="1" fillId="2" borderId="65" xfId="0" applyNumberFormat="1" applyFont="1" applyFill="1" applyBorder="1" applyAlignment="1">
      <alignment horizontal="left" vertical="center"/>
    </xf>
    <xf numFmtId="0" fontId="1" fillId="2" borderId="93" xfId="0" applyFont="1" applyFill="1" applyBorder="1" applyAlignment="1">
      <alignment horizontal="center" vertical="center"/>
    </xf>
    <xf numFmtId="10" fontId="1" fillId="2" borderId="98" xfId="0" applyNumberFormat="1" applyFont="1" applyFill="1" applyBorder="1" applyAlignment="1">
      <alignment horizontal="right" vertical="center"/>
    </xf>
    <xf numFmtId="10" fontId="1" fillId="2" borderId="62" xfId="0" applyNumberFormat="1" applyFont="1" applyFill="1" applyBorder="1" applyAlignment="1">
      <alignment horizontal="right" vertical="center"/>
    </xf>
    <xf numFmtId="0" fontId="1" fillId="2" borderId="63" xfId="0" applyFont="1" applyFill="1" applyBorder="1" applyAlignment="1">
      <alignment horizontal="center" vertical="center"/>
    </xf>
    <xf numFmtId="10" fontId="1" fillId="2" borderId="65" xfId="0" applyNumberFormat="1" applyFont="1" applyFill="1" applyBorder="1" applyAlignment="1">
      <alignment horizontal="right" vertical="center"/>
    </xf>
    <xf numFmtId="0" fontId="1" fillId="2" borderId="57" xfId="0" applyFont="1" applyFill="1" applyBorder="1" applyAlignment="1">
      <alignment horizontal="center" vertical="center"/>
    </xf>
    <xf numFmtId="4" fontId="1" fillId="2" borderId="71" xfId="0" applyNumberFormat="1" applyFont="1" applyFill="1" applyBorder="1" applyAlignment="1">
      <alignment vertical="center"/>
    </xf>
    <xf numFmtId="11" fontId="12" fillId="0" borderId="0" xfId="0" applyNumberFormat="1" applyFont="1" applyAlignment="1" applyProtection="1">
      <alignment vertical="center"/>
      <protection locked="0"/>
    </xf>
    <xf numFmtId="4" fontId="18" fillId="0" borderId="9" xfId="0" applyNumberFormat="1" applyFont="1" applyBorder="1" applyProtection="1">
      <protection locked="0"/>
    </xf>
    <xf numFmtId="4" fontId="18" fillId="0" borderId="0" xfId="0" applyNumberFormat="1" applyFont="1" applyProtection="1">
      <protection locked="0"/>
    </xf>
    <xf numFmtId="0" fontId="70" fillId="2" borderId="0" xfId="0" applyFont="1" applyFill="1" applyAlignment="1">
      <alignment horizontal="left" vertical="center"/>
    </xf>
    <xf numFmtId="0" fontId="71" fillId="2" borderId="0" xfId="0" applyFont="1" applyFill="1" applyAlignment="1">
      <alignment horizontal="center" vertical="center"/>
    </xf>
    <xf numFmtId="0" fontId="71" fillId="2" borderId="0" xfId="0" applyFont="1" applyFill="1" applyAlignment="1">
      <alignment vertical="center"/>
    </xf>
    <xf numFmtId="1" fontId="9" fillId="3" borderId="0" xfId="0" applyNumberFormat="1" applyFont="1" applyFill="1" applyAlignment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/>
    </xf>
    <xf numFmtId="0" fontId="7" fillId="4" borderId="0" xfId="0" applyFont="1" applyFill="1" applyAlignment="1">
      <alignment horizontal="left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left"/>
    </xf>
    <xf numFmtId="0" fontId="7" fillId="4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18" fillId="2" borderId="4" xfId="0" applyFont="1" applyFill="1" applyBorder="1" applyAlignment="1" applyProtection="1">
      <alignment horizontal="left"/>
      <protection locked="0"/>
    </xf>
    <xf numFmtId="0" fontId="18" fillId="2" borderId="1" xfId="0" applyFont="1" applyFill="1" applyBorder="1" applyAlignment="1">
      <alignment horizontal="right"/>
    </xf>
    <xf numFmtId="0" fontId="15" fillId="6" borderId="1" xfId="0" applyFont="1" applyFill="1" applyBorder="1" applyAlignment="1">
      <alignment horizontal="right"/>
    </xf>
    <xf numFmtId="4" fontId="19" fillId="3" borderId="51" xfId="0" applyNumberFormat="1" applyFont="1" applyFill="1" applyBorder="1" applyAlignment="1">
      <alignment horizontal="center" vertical="center"/>
    </xf>
    <xf numFmtId="4" fontId="19" fillId="3" borderId="52" xfId="0" applyNumberFormat="1" applyFont="1" applyFill="1" applyBorder="1" applyAlignment="1">
      <alignment horizontal="center" vertical="center"/>
    </xf>
    <xf numFmtId="4" fontId="19" fillId="3" borderId="53" xfId="0" applyNumberFormat="1" applyFont="1" applyFill="1" applyBorder="1" applyAlignment="1">
      <alignment horizontal="center" vertical="center"/>
    </xf>
    <xf numFmtId="4" fontId="19" fillId="3" borderId="56" xfId="0" applyNumberFormat="1" applyFont="1" applyFill="1" applyBorder="1" applyAlignment="1">
      <alignment horizontal="center" vertical="center"/>
    </xf>
    <xf numFmtId="4" fontId="19" fillId="3" borderId="20" xfId="0" applyNumberFormat="1" applyFont="1" applyFill="1" applyBorder="1" applyAlignment="1">
      <alignment horizontal="center" vertical="center"/>
    </xf>
    <xf numFmtId="4" fontId="19" fillId="3" borderId="1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9" fillId="3" borderId="70" xfId="0" applyNumberFormat="1" applyFont="1" applyFill="1" applyBorder="1" applyAlignment="1">
      <alignment horizontal="center" vertical="center"/>
    </xf>
    <xf numFmtId="4" fontId="19" fillId="3" borderId="74" xfId="0" applyNumberFormat="1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2" borderId="57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  <xf numFmtId="4" fontId="13" fillId="3" borderId="30" xfId="0" applyNumberFormat="1" applyFont="1" applyFill="1" applyBorder="1" applyAlignment="1">
      <alignment horizontal="center" vertical="center"/>
    </xf>
    <xf numFmtId="4" fontId="13" fillId="3" borderId="31" xfId="0" applyNumberFormat="1" applyFont="1" applyFill="1" applyBorder="1" applyAlignment="1">
      <alignment horizontal="center" vertical="center"/>
    </xf>
    <xf numFmtId="4" fontId="13" fillId="3" borderId="32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25" fillId="3" borderId="70" xfId="132" applyFont="1" applyFill="1" applyBorder="1" applyAlignment="1">
      <alignment horizontal="center" wrapText="1"/>
    </xf>
    <xf numFmtId="0" fontId="25" fillId="3" borderId="74" xfId="132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" fillId="2" borderId="60" xfId="0" applyFont="1" applyFill="1" applyBorder="1" applyAlignment="1" applyProtection="1">
      <alignment horizontal="left" vertical="center"/>
      <protection locked="0"/>
    </xf>
    <xf numFmtId="0" fontId="1" fillId="2" borderId="62" xfId="0" applyFont="1" applyFill="1" applyBorder="1" applyAlignment="1" applyProtection="1">
      <alignment horizontal="left" vertical="center"/>
      <protection locked="0"/>
    </xf>
    <xf numFmtId="0" fontId="1" fillId="2" borderId="63" xfId="0" applyFont="1" applyFill="1" applyBorder="1" applyAlignment="1" applyProtection="1">
      <alignment horizontal="left" vertical="center"/>
      <protection locked="0"/>
    </xf>
    <xf numFmtId="0" fontId="1" fillId="2" borderId="65" xfId="0" applyFont="1" applyFill="1" applyBorder="1" applyAlignment="1" applyProtection="1">
      <alignment horizontal="left" vertical="center"/>
      <protection locked="0"/>
    </xf>
    <xf numFmtId="0" fontId="1" fillId="2" borderId="131" xfId="0" applyFont="1" applyFill="1" applyBorder="1" applyAlignment="1" applyProtection="1">
      <alignment horizontal="left" vertical="center"/>
      <protection locked="0"/>
    </xf>
    <xf numFmtId="0" fontId="1" fillId="2" borderId="132" xfId="0" applyFont="1" applyFill="1" applyBorder="1" applyAlignment="1" applyProtection="1">
      <alignment horizontal="left" vertical="center"/>
      <protection locked="0"/>
    </xf>
    <xf numFmtId="0" fontId="7" fillId="2" borderId="6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9" fillId="14" borderId="0" xfId="0" applyFont="1" applyFill="1" applyAlignment="1" applyProtection="1">
      <alignment horizontal="center" vertical="center"/>
      <protection locked="0"/>
    </xf>
    <xf numFmtId="0" fontId="19" fillId="0" borderId="208" xfId="0" applyFont="1" applyBorder="1" applyAlignment="1" applyProtection="1">
      <alignment horizontal="left" vertical="center"/>
      <protection locked="0"/>
    </xf>
    <xf numFmtId="0" fontId="19" fillId="0" borderId="209" xfId="0" applyFont="1" applyBorder="1" applyAlignment="1" applyProtection="1">
      <alignment horizontal="left" vertical="center"/>
      <protection locked="0"/>
    </xf>
    <xf numFmtId="0" fontId="19" fillId="0" borderId="210" xfId="0" applyFont="1" applyBorder="1" applyAlignment="1" applyProtection="1">
      <alignment horizontal="left" vertical="center"/>
      <protection locked="0"/>
    </xf>
    <xf numFmtId="0" fontId="26" fillId="3" borderId="16" xfId="132" applyFont="1" applyFill="1" applyBorder="1" applyAlignment="1">
      <alignment horizontal="left" vertical="center" wrapText="1"/>
    </xf>
    <xf numFmtId="0" fontId="26" fillId="3" borderId="18" xfId="132" applyFont="1" applyFill="1" applyBorder="1" applyAlignment="1">
      <alignment horizontal="left" vertical="center" wrapText="1"/>
    </xf>
    <xf numFmtId="0" fontId="26" fillId="3" borderId="16" xfId="132" applyFont="1" applyFill="1" applyBorder="1" applyAlignment="1">
      <alignment horizontal="center" vertical="center" wrapText="1"/>
    </xf>
    <xf numFmtId="0" fontId="26" fillId="3" borderId="18" xfId="132" applyFont="1" applyFill="1" applyBorder="1" applyAlignment="1">
      <alignment horizontal="center" vertical="center" wrapText="1"/>
    </xf>
    <xf numFmtId="0" fontId="26" fillId="3" borderId="0" xfId="132" applyFont="1" applyFill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26" fillId="3" borderId="163" xfId="132" applyFont="1" applyFill="1" applyBorder="1" applyAlignment="1">
      <alignment horizontal="center" vertical="center" wrapText="1"/>
    </xf>
    <xf numFmtId="0" fontId="26" fillId="3" borderId="17" xfId="132" applyFont="1" applyFill="1" applyBorder="1" applyAlignment="1">
      <alignment horizontal="center" vertical="center" wrapText="1"/>
    </xf>
    <xf numFmtId="0" fontId="26" fillId="3" borderId="149" xfId="132" applyFont="1" applyFill="1" applyBorder="1" applyAlignment="1">
      <alignment horizontal="center" vertical="center" wrapText="1"/>
    </xf>
    <xf numFmtId="0" fontId="26" fillId="3" borderId="177" xfId="132" applyFont="1" applyFill="1" applyBorder="1" applyAlignment="1">
      <alignment horizontal="center" vertical="center" wrapText="1"/>
    </xf>
    <xf numFmtId="0" fontId="26" fillId="3" borderId="53" xfId="132" applyFont="1" applyFill="1" applyBorder="1" applyAlignment="1">
      <alignment horizontal="center" vertical="center" wrapText="1"/>
    </xf>
    <xf numFmtId="0" fontId="26" fillId="3" borderId="178" xfId="132" applyFont="1" applyFill="1" applyBorder="1" applyAlignment="1">
      <alignment horizontal="center" vertical="center" wrapText="1"/>
    </xf>
    <xf numFmtId="0" fontId="26" fillId="3" borderId="19" xfId="132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62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0" fontId="7" fillId="2" borderId="69" xfId="0" applyFont="1" applyFill="1" applyBorder="1" applyAlignment="1">
      <alignment horizontal="left" vertical="center"/>
    </xf>
    <xf numFmtId="0" fontId="1" fillId="2" borderId="67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left" vertical="center"/>
    </xf>
    <xf numFmtId="0" fontId="1" fillId="2" borderId="69" xfId="0" applyFont="1" applyFill="1" applyBorder="1" applyAlignment="1">
      <alignment horizontal="left" vertical="center"/>
    </xf>
    <xf numFmtId="4" fontId="1" fillId="2" borderId="60" xfId="0" applyNumberFormat="1" applyFont="1" applyFill="1" applyBorder="1" applyAlignment="1" applyProtection="1">
      <alignment horizontal="left" vertical="center"/>
      <protection locked="0"/>
    </xf>
    <xf numFmtId="4" fontId="1" fillId="2" borderId="62" xfId="0" applyNumberFormat="1" applyFont="1" applyFill="1" applyBorder="1" applyAlignment="1" applyProtection="1">
      <alignment horizontal="left" vertical="center"/>
      <protection locked="0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26" fillId="3" borderId="51" xfId="132" applyFont="1" applyFill="1" applyBorder="1" applyAlignment="1">
      <alignment horizontal="center" wrapText="1"/>
    </xf>
    <xf numFmtId="0" fontId="26" fillId="3" borderId="52" xfId="132" applyFont="1" applyFill="1" applyBorder="1" applyAlignment="1">
      <alignment horizontal="center" wrapText="1"/>
    </xf>
    <xf numFmtId="0" fontId="26" fillId="3" borderId="53" xfId="132" applyFont="1" applyFill="1" applyBorder="1" applyAlignment="1">
      <alignment horizontal="center" wrapText="1"/>
    </xf>
    <xf numFmtId="0" fontId="7" fillId="3" borderId="56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1" fillId="2" borderId="0" xfId="0" applyFont="1" applyFill="1" applyAlignment="1">
      <alignment horizontal="left" vertical="center" wrapText="1"/>
    </xf>
    <xf numFmtId="0" fontId="26" fillId="3" borderId="16" xfId="132" applyFont="1" applyFill="1" applyBorder="1" applyAlignment="1">
      <alignment horizontal="center" wrapText="1"/>
    </xf>
    <xf numFmtId="0" fontId="26" fillId="3" borderId="17" xfId="132" applyFont="1" applyFill="1" applyBorder="1" applyAlignment="1">
      <alignment horizontal="center" wrapText="1"/>
    </xf>
    <xf numFmtId="0" fontId="26" fillId="3" borderId="18" xfId="132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left"/>
    </xf>
    <xf numFmtId="0" fontId="7" fillId="2" borderId="69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7" fillId="2" borderId="68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4" fontId="7" fillId="2" borderId="67" xfId="0" applyNumberFormat="1" applyFont="1" applyFill="1" applyBorder="1" applyAlignment="1">
      <alignment horizontal="left"/>
    </xf>
    <xf numFmtId="4" fontId="7" fillId="2" borderId="69" xfId="0" applyNumberFormat="1" applyFont="1" applyFill="1" applyBorder="1" applyAlignment="1">
      <alignment horizontal="left"/>
    </xf>
    <xf numFmtId="4" fontId="1" fillId="2" borderId="93" xfId="0" applyNumberFormat="1" applyFont="1" applyFill="1" applyBorder="1" applyAlignment="1" applyProtection="1">
      <alignment horizontal="left" vertical="center"/>
      <protection locked="0"/>
    </xf>
    <xf numFmtId="4" fontId="1" fillId="2" borderId="98" xfId="0" applyNumberFormat="1" applyFont="1" applyFill="1" applyBorder="1" applyAlignment="1" applyProtection="1">
      <alignment horizontal="left" vertical="center"/>
      <protection locked="0"/>
    </xf>
    <xf numFmtId="4" fontId="1" fillId="2" borderId="60" xfId="0" applyNumberFormat="1" applyFont="1" applyFill="1" applyBorder="1" applyAlignment="1">
      <alignment horizontal="left" vertical="center"/>
    </xf>
    <xf numFmtId="4" fontId="1" fillId="2" borderId="62" xfId="0" applyNumberFormat="1" applyFont="1" applyFill="1" applyBorder="1" applyAlignment="1">
      <alignment horizontal="left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1" fillId="2" borderId="65" xfId="0" applyNumberFormat="1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34" fillId="6" borderId="114" xfId="0" applyFont="1" applyFill="1" applyBorder="1" applyAlignment="1">
      <alignment horizontal="left"/>
    </xf>
    <xf numFmtId="0" fontId="34" fillId="6" borderId="115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33" fillId="6" borderId="114" xfId="0" applyFont="1" applyFill="1" applyBorder="1" applyAlignment="1">
      <alignment horizontal="left"/>
    </xf>
    <xf numFmtId="0" fontId="33" fillId="6" borderId="115" xfId="0" applyFont="1" applyFill="1" applyBorder="1" applyAlignment="1">
      <alignment horizontal="left"/>
    </xf>
    <xf numFmtId="4" fontId="57" fillId="2" borderId="164" xfId="0" applyNumberFormat="1" applyFont="1" applyFill="1" applyBorder="1" applyAlignment="1">
      <alignment horizontal="right" vertical="center"/>
    </xf>
    <xf numFmtId="4" fontId="57" fillId="2" borderId="165" xfId="0" applyNumberFormat="1" applyFont="1" applyFill="1" applyBorder="1" applyAlignment="1">
      <alignment horizontal="right" vertical="center"/>
    </xf>
    <xf numFmtId="4" fontId="57" fillId="2" borderId="166" xfId="0" applyNumberFormat="1" applyFont="1" applyFill="1" applyBorder="1" applyAlignment="1">
      <alignment horizontal="right" vertical="center"/>
    </xf>
    <xf numFmtId="4" fontId="10" fillId="3" borderId="16" xfId="0" applyNumberFormat="1" applyFont="1" applyFill="1" applyBorder="1" applyAlignment="1">
      <alignment horizontal="left" vertical="center"/>
    </xf>
    <xf numFmtId="4" fontId="10" fillId="3" borderId="18" xfId="0" applyNumberFormat="1" applyFont="1" applyFill="1" applyBorder="1" applyAlignment="1">
      <alignment horizontal="left" vertical="center"/>
    </xf>
    <xf numFmtId="3" fontId="9" fillId="3" borderId="0" xfId="0" applyNumberFormat="1" applyFont="1" applyFill="1" applyAlignment="1">
      <alignment horizontal="center" vertical="center"/>
    </xf>
    <xf numFmtId="4" fontId="7" fillId="4" borderId="0" xfId="0" applyNumberFormat="1" applyFont="1" applyFill="1" applyAlignment="1">
      <alignment horizontal="left" vertical="center" wrapText="1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vertical="center"/>
    </xf>
    <xf numFmtId="4" fontId="10" fillId="3" borderId="18" xfId="0" applyNumberFormat="1" applyFont="1" applyFill="1" applyBorder="1" applyAlignment="1">
      <alignment vertical="center"/>
    </xf>
    <xf numFmtId="4" fontId="18" fillId="2" borderId="12" xfId="0" applyNumberFormat="1" applyFont="1" applyFill="1" applyBorder="1" applyAlignment="1">
      <alignment horizontal="left"/>
    </xf>
    <xf numFmtId="4" fontId="33" fillId="10" borderId="114" xfId="0" applyNumberFormat="1" applyFont="1" applyFill="1" applyBorder="1" applyAlignment="1">
      <alignment horizontal="left" vertical="center"/>
    </xf>
    <xf numFmtId="4" fontId="33" fillId="10" borderId="115" xfId="0" applyNumberFormat="1" applyFont="1" applyFill="1" applyBorder="1" applyAlignment="1">
      <alignment horizontal="left" vertical="center"/>
    </xf>
    <xf numFmtId="4" fontId="52" fillId="8" borderId="114" xfId="0" applyNumberFormat="1" applyFont="1" applyFill="1" applyBorder="1" applyAlignment="1">
      <alignment horizontal="left"/>
    </xf>
    <xf numFmtId="4" fontId="52" fillId="8" borderId="115" xfId="0" applyNumberFormat="1" applyFont="1" applyFill="1" applyBorder="1" applyAlignment="1">
      <alignment horizontal="left"/>
    </xf>
    <xf numFmtId="4" fontId="10" fillId="9" borderId="16" xfId="0" applyNumberFormat="1" applyFont="1" applyFill="1" applyBorder="1" applyAlignment="1">
      <alignment horizontal="left" vertical="center"/>
    </xf>
    <xf numFmtId="4" fontId="10" fillId="9" borderId="18" xfId="0" applyNumberFormat="1" applyFont="1" applyFill="1" applyBorder="1" applyAlignment="1">
      <alignment horizontal="left" vertical="center"/>
    </xf>
    <xf numFmtId="4" fontId="33" fillId="8" borderId="114" xfId="0" applyNumberFormat="1" applyFont="1" applyFill="1" applyBorder="1" applyAlignment="1">
      <alignment horizontal="left" vertical="center"/>
    </xf>
    <xf numFmtId="4" fontId="33" fillId="8" borderId="115" xfId="0" applyNumberFormat="1" applyFont="1" applyFill="1" applyBorder="1" applyAlignment="1">
      <alignment horizontal="left" vertical="center"/>
    </xf>
    <xf numFmtId="4" fontId="7" fillId="11" borderId="16" xfId="0" applyNumberFormat="1" applyFont="1" applyFill="1" applyBorder="1" applyAlignment="1">
      <alignment vertical="center"/>
    </xf>
    <xf numFmtId="4" fontId="7" fillId="11" borderId="18" xfId="0" applyNumberFormat="1" applyFont="1" applyFill="1" applyBorder="1" applyAlignment="1">
      <alignment vertical="center"/>
    </xf>
    <xf numFmtId="4" fontId="10" fillId="11" borderId="16" xfId="0" applyNumberFormat="1" applyFont="1" applyFill="1" applyBorder="1" applyAlignment="1">
      <alignment horizontal="left" vertical="center"/>
    </xf>
    <xf numFmtId="4" fontId="10" fillId="11" borderId="18" xfId="0" applyNumberFormat="1" applyFont="1" applyFill="1" applyBorder="1" applyAlignment="1">
      <alignment horizontal="left" vertical="center"/>
    </xf>
  </cellXfs>
  <cellStyles count="1091">
    <cellStyle name="Hipervínculo" xfId="617" builtinId="8" hidden="1"/>
    <cellStyle name="Hipervínculo" xfId="987" builtinId="8" hidden="1"/>
    <cellStyle name="Hipervínculo" xfId="677" builtinId="8" hidden="1"/>
    <cellStyle name="Hipervínculo" xfId="823" builtinId="8" hidden="1"/>
    <cellStyle name="Hipervínculo" xfId="1057" builtinId="8" hidden="1"/>
    <cellStyle name="Hipervínculo" xfId="293" builtinId="8" hidden="1"/>
    <cellStyle name="Hipervínculo" xfId="531" builtinId="8" hidden="1"/>
    <cellStyle name="Hipervínculo" xfId="703" builtinId="8" hidden="1"/>
    <cellStyle name="Hipervínculo" xfId="909" builtinId="8" hidden="1"/>
    <cellStyle name="Hipervínculo" xfId="539" builtinId="8" hidden="1"/>
    <cellStyle name="Hipervínculo" xfId="409" builtinId="8" hidden="1"/>
    <cellStyle name="Hipervínculo" xfId="73" builtinId="8" hidden="1"/>
    <cellStyle name="Hipervínculo" xfId="993" builtinId="8" hidden="1"/>
    <cellStyle name="Hipervínculo" xfId="815" builtinId="8" hidden="1"/>
    <cellStyle name="Hipervínculo" xfId="323" builtinId="8" hidden="1"/>
    <cellStyle name="Hipervínculo" xfId="849" builtinId="8" hidden="1"/>
    <cellStyle name="Hipervínculo" xfId="837" builtinId="8" hidden="1"/>
    <cellStyle name="Hipervínculo" xfId="99" builtinId="8" hidden="1"/>
    <cellStyle name="Hipervínculo" xfId="359" builtinId="8" hidden="1"/>
    <cellStyle name="Hipervínculo" xfId="729" builtinId="8" hidden="1"/>
    <cellStyle name="Hipervínculo" xfId="1081" builtinId="8" hidden="1"/>
    <cellStyle name="Hipervínculo" xfId="389" builtinId="8" hidden="1"/>
    <cellStyle name="Hipervínculo" xfId="513" builtinId="8" hidden="1"/>
    <cellStyle name="Hipervínculo" xfId="11" builtinId="8" hidden="1"/>
    <cellStyle name="Hipervínculo" xfId="625" builtinId="8" hidden="1"/>
    <cellStyle name="Hipervínculo" xfId="895" builtinId="8" hidden="1"/>
    <cellStyle name="Hipervínculo" xfId="1013" builtinId="8" hidden="1"/>
    <cellStyle name="Hipervínculo" xfId="797" builtinId="8" hidden="1"/>
    <cellStyle name="Hipervínculo" xfId="427" builtinId="8" hidden="1"/>
    <cellStyle name="Hipervínculo" xfId="257" builtinId="8" hidden="1"/>
    <cellStyle name="Hipervínculo" xfId="195" builtinId="8" hidden="1"/>
    <cellStyle name="Hipervínculo" xfId="557" builtinId="8" hidden="1"/>
    <cellStyle name="Hipervínculo" xfId="927" builtinId="8" hidden="1"/>
    <cellStyle name="Hipervínculo" xfId="883" builtinId="8" hidden="1"/>
    <cellStyle name="Hipervínculo" xfId="125" builtinId="8" hidden="1"/>
    <cellStyle name="Hipervínculo" xfId="143" builtinId="8" hidden="1"/>
    <cellStyle name="Hipervínculo" xfId="585" builtinId="8" hidden="1"/>
    <cellStyle name="Hipervínculo" xfId="763" builtinId="8" hidden="1"/>
    <cellStyle name="Hipervínculo" xfId="203" builtinId="8" hidden="1"/>
    <cellStyle name="Hipervínculo" xfId="471" builtinId="8" hidden="1"/>
    <cellStyle name="Hipervínculo" xfId="127" builtinId="8" hidden="1"/>
    <cellStyle name="Hipervínculo" xfId="63" builtinId="8" hidden="1"/>
    <cellStyle name="Hipervínculo" xfId="197" builtinId="8" hidden="1"/>
    <cellStyle name="Hipervínculo" xfId="649" builtinId="8" hidden="1"/>
    <cellStyle name="Hipervínculo" xfId="755" builtinId="8" hidden="1"/>
    <cellStyle name="Hipervínculo" xfId="1055" builtinId="8" hidden="1"/>
    <cellStyle name="Hipervínculo" xfId="685" builtinId="8" hidden="1"/>
    <cellStyle name="Hipervínculo" xfId="711" builtinId="8" hidden="1"/>
    <cellStyle name="Hipervínculo" xfId="671" builtinId="8" hidden="1"/>
    <cellStyle name="Hipervínculo" xfId="299" builtinId="8" hidden="1"/>
    <cellStyle name="Hipervínculo" xfId="669" builtinId="8" hidden="1"/>
    <cellStyle name="Hipervínculo" xfId="1039" builtinId="8" hidden="1"/>
    <cellStyle name="Hipervínculo" xfId="639" builtinId="8" hidden="1"/>
    <cellStyle name="Hipervínculo" xfId="881" builtinId="8" hidden="1"/>
    <cellStyle name="Hipervínculo" xfId="43" builtinId="8" hidden="1"/>
    <cellStyle name="Hipervínculo" xfId="213" builtinId="8" hidden="1"/>
    <cellStyle name="Hipervínculo" xfId="69" builtinId="8" hidden="1"/>
    <cellStyle name="Hipervínculo" xfId="129" builtinId="8" hidden="1"/>
    <cellStyle name="Hipervínculo" xfId="275" builtinId="8" hidden="1"/>
    <cellStyle name="Hipervínculo" xfId="487" builtinId="8" hidden="1"/>
    <cellStyle name="Hipervínculo" xfId="161" builtinId="8" hidden="1"/>
    <cellStyle name="Hipervínculo" xfId="709" builtinId="8" hidden="1"/>
    <cellStyle name="Hipervínculo" xfId="929" builtinId="8" hidden="1"/>
    <cellStyle name="Hipervínculo" xfId="419" builtinId="8" hidden="1"/>
    <cellStyle name="Hipervínculo" xfId="943" builtinId="8" hidden="1"/>
    <cellStyle name="Hipervínculo" xfId="443" builtinId="8" hidden="1"/>
    <cellStyle name="Hipervínculo" xfId="743" builtinId="8" hidden="1"/>
    <cellStyle name="Hipervínculo" xfId="265" builtinId="8" hidden="1"/>
    <cellStyle name="Hipervínculo" xfId="411" builtinId="8" hidden="1"/>
    <cellStyle name="Hipervínculo" xfId="781" builtinId="8" hidden="1"/>
    <cellStyle name="Hipervínculo" xfId="767" builtinId="8" hidden="1"/>
    <cellStyle name="Hipervínculo" xfId="659" builtinId="8" hidden="1"/>
    <cellStyle name="Hipervínculo" xfId="899" builtinId="8" hidden="1"/>
    <cellStyle name="Hipervínculo" xfId="13" builtinId="8" hidden="1"/>
    <cellStyle name="Hipervínculo" xfId="229" builtinId="8" hidden="1"/>
    <cellStyle name="Hipervínculo" xfId="841" builtinId="8" hidden="1"/>
    <cellStyle name="Hipervínculo" xfId="403" builtinId="8" hidden="1"/>
    <cellStyle name="Hipervínculo" xfId="1089" builtinId="8" hidden="1"/>
    <cellStyle name="Hipervínculo" xfId="375" builtinId="8" hidden="1"/>
    <cellStyle name="Hipervínculo" xfId="87" builtinId="8" hidden="1"/>
    <cellStyle name="Hipervínculo" xfId="239" builtinId="8" hidden="1"/>
    <cellStyle name="Hipervínculo" xfId="867" builtinId="8" hidden="1"/>
    <cellStyle name="Hipervínculo" xfId="979" builtinId="8" hidden="1"/>
    <cellStyle name="Hipervínculo" xfId="327" builtinId="8" hidden="1"/>
    <cellStyle name="Hipervínculo" xfId="413" builtinId="8" hidden="1"/>
    <cellStyle name="Hipervínculo" xfId="89" builtinId="8" hidden="1"/>
    <cellStyle name="Hipervínculo" xfId="377" builtinId="8" hidden="1"/>
    <cellStyle name="Hipervínculo" xfId="523" builtinId="8" hidden="1"/>
    <cellStyle name="Hipervínculo" xfId="893" builtinId="8" hidden="1"/>
    <cellStyle name="Hipervínculo" xfId="917" builtinId="8" hidden="1"/>
    <cellStyle name="Hipervínculo" xfId="643" builtinId="8" hidden="1"/>
    <cellStyle name="Hipervínculo" xfId="577" builtinId="8" hidden="1"/>
    <cellStyle name="Hipervínculo" xfId="111" builtinId="8" hidden="1"/>
    <cellStyle name="Hipervínculo" xfId="453" builtinId="8" hidden="1"/>
    <cellStyle name="Hipervínculo" xfId="791" builtinId="8" hidden="1"/>
    <cellStyle name="Hipervínculo" xfId="1003" builtinId="8" hidden="1"/>
    <cellStyle name="Hipervínculo" xfId="633" builtinId="8" hidden="1"/>
    <cellStyle name="Hipervínculo" xfId="263" builtinId="8" hidden="1"/>
    <cellStyle name="Hipervínculo" xfId="103" builtinId="8" hidden="1"/>
    <cellStyle name="Hipervínculo" xfId="351" builtinId="8" hidden="1"/>
    <cellStyle name="Hipervínculo" xfId="785" builtinId="8" hidden="1"/>
    <cellStyle name="Hipervínculo" xfId="317" builtinId="8" hidden="1"/>
    <cellStyle name="Hipervínculo" xfId="485" builtinId="8" hidden="1"/>
    <cellStyle name="Hipervínculo" xfId="349" builtinId="8" hidden="1"/>
    <cellStyle name="Hipervínculo" xfId="49" builtinId="8" hidden="1"/>
    <cellStyle name="Hipervínculo" xfId="947" builtinId="8" hidden="1"/>
    <cellStyle name="Hipervínculo" xfId="345" builtinId="8" hidden="1"/>
    <cellStyle name="Hipervínculo" xfId="591" builtinId="8" hidden="1"/>
    <cellStyle name="Hipervínculo" xfId="749" builtinId="8" hidden="1"/>
    <cellStyle name="Hipervínculo" xfId="469" builtinId="8" hidden="1"/>
    <cellStyle name="Hipervínculo" xfId="151" builtinId="8" hidden="1"/>
    <cellStyle name="Hipervínculo" xfId="1005" builtinId="8" hidden="1"/>
    <cellStyle name="Hipervínculo" xfId="421" builtinId="8" hidden="1"/>
    <cellStyle name="Hipervínculo" xfId="321" builtinId="8" hidden="1"/>
    <cellStyle name="Hipervínculo" xfId="177" builtinId="8" hidden="1"/>
    <cellStyle name="Hipervínculo" xfId="193" builtinId="8" hidden="1"/>
    <cellStyle name="Hipervínculo" xfId="621" builtinId="8" hidden="1"/>
    <cellStyle name="Hipervínculo" xfId="457" builtinId="8" hidden="1"/>
    <cellStyle name="Hipervínculo" xfId="401" builtinId="8" hidden="1"/>
    <cellStyle name="Hipervínculo" xfId="819" builtinId="8" hidden="1"/>
    <cellStyle name="Hipervínculo" xfId="835" builtinId="8" hidden="1"/>
    <cellStyle name="Hipervínculo" xfId="607" builtinId="8" hidden="1"/>
    <cellStyle name="Hipervínculo" xfId="237" builtinId="8" hidden="1"/>
    <cellStyle name="Hipervínculo" xfId="59" builtinId="8" hidden="1"/>
    <cellStyle name="Hipervínculo" xfId="329" builtinId="8" hidden="1"/>
    <cellStyle name="Hipervínculo" xfId="747" builtinId="8" hidden="1"/>
    <cellStyle name="Hipervínculo" xfId="1063" builtinId="8" hidden="1"/>
    <cellStyle name="Hipervínculo" xfId="695" builtinId="8" hidden="1"/>
    <cellStyle name="Hipervínculo" xfId="445" builtinId="8" hidden="1"/>
    <cellStyle name="Hipervínculo" xfId="775" builtinId="8" hidden="1"/>
    <cellStyle name="Hipervínculo" xfId="1049" builtinId="8" hidden="1"/>
    <cellStyle name="Hipervínculo" xfId="661" builtinId="8" hidden="1"/>
    <cellStyle name="Hipervínculo" xfId="1031" builtinId="8" hidden="1"/>
    <cellStyle name="Hipervínculo" xfId="779" builtinId="8" hidden="1"/>
    <cellStyle name="Hipervínculo" xfId="305" builtinId="8" hidden="1"/>
    <cellStyle name="Hipervínculo" xfId="39" builtinId="8" hidden="1"/>
    <cellStyle name="Hipervínculo" xfId="973" builtinId="8" hidden="1"/>
    <cellStyle name="Hipervínculo" xfId="839" builtinId="8" hidden="1"/>
    <cellStyle name="Hipervínculo" xfId="227" builtinId="8" hidden="1"/>
    <cellStyle name="Hipervínculo" xfId="355" builtinId="8" hidden="1"/>
    <cellStyle name="Hipervínculo" xfId="495" builtinId="8" hidden="1"/>
    <cellStyle name="Hipervínculo" xfId="153" builtinId="8" hidden="1"/>
    <cellStyle name="Hipervínculo" xfId="117" builtinId="8" hidden="1"/>
    <cellStyle name="Hipervínculo" xfId="489" builtinId="8" hidden="1"/>
    <cellStyle name="Hipervínculo" xfId="859" builtinId="8" hidden="1"/>
    <cellStyle name="Hipervínculo" xfId="205" builtinId="8" hidden="1"/>
    <cellStyle name="Hipervínculo" xfId="745" builtinId="8" hidden="1"/>
    <cellStyle name="Hipervínculo" xfId="325" builtinId="8" hidden="1"/>
    <cellStyle name="Hipervínculo" xfId="511" builtinId="8" hidden="1"/>
    <cellStyle name="Hipervínculo" xfId="613" builtinId="8" hidden="1"/>
    <cellStyle name="Hipervínculo" xfId="575" builtinId="8" hidden="1"/>
    <cellStyle name="Hipervínculo" xfId="1037" builtinId="8" hidden="1"/>
    <cellStyle name="Hipervínculo" xfId="667" builtinId="8" hidden="1"/>
    <cellStyle name="Hipervínculo" xfId="385" builtinId="8" hidden="1"/>
    <cellStyle name="Hipervínculo" xfId="437" builtinId="8" hidden="1"/>
    <cellStyle name="Hipervínculo" xfId="699" builtinId="8" hidden="1"/>
    <cellStyle name="Hipervínculo" xfId="155" builtinId="8" hidden="1"/>
    <cellStyle name="Hipervínculo" xfId="259" builtinId="8" hidden="1"/>
    <cellStyle name="Hipervínculo" xfId="769" builtinId="8" hidden="1"/>
    <cellStyle name="Hipervínculo" xfId="901" builtinId="8" hidden="1"/>
    <cellStyle name="Hipervínculo" xfId="83" builtinId="8" hidden="1"/>
    <cellStyle name="Hipervínculo" xfId="231" builtinId="8" hidden="1"/>
    <cellStyle name="Hipervínculo" xfId="601" builtinId="8" hidden="1"/>
    <cellStyle name="Hipervínculo" xfId="949" builtinId="8" hidden="1"/>
    <cellStyle name="Hipervínculo" xfId="3" builtinId="8" hidden="1"/>
    <cellStyle name="Hipervínculo" xfId="631" builtinId="8" hidden="1"/>
    <cellStyle name="Hipervínculo" xfId="873" builtinId="8" hidden="1"/>
    <cellStyle name="Hipervínculo" xfId="593" builtinId="8" hidden="1"/>
    <cellStyle name="Hipervínculo" xfId="1029" builtinId="8" hidden="1"/>
    <cellStyle name="Hipervínculo" xfId="885" builtinId="8" hidden="1"/>
    <cellStyle name="Hipervínculo" xfId="925" builtinId="8" hidden="1"/>
    <cellStyle name="Hipervínculo" xfId="555" builtinId="8" hidden="1"/>
    <cellStyle name="Hipervínculo" xfId="463" builtinId="8" hidden="1"/>
    <cellStyle name="Hipervínculo" xfId="583" builtinId="8" hidden="1"/>
    <cellStyle name="Hipervínculo" xfId="235" builtinId="8" hidden="1"/>
    <cellStyle name="Hipervínculo" xfId="799" builtinId="8" hidden="1"/>
    <cellStyle name="Hipervínculo" xfId="1011" builtinId="8" hidden="1"/>
    <cellStyle name="Hipervínculo" xfId="319" builtinId="8" hidden="1"/>
    <cellStyle name="Hipervínculo" xfId="271" builtinId="8" hidden="1"/>
    <cellStyle name="Hipervínculo" xfId="91" builtinId="8" hidden="1"/>
    <cellStyle name="Hipervínculo" xfId="563" builtinId="8" hidden="1"/>
    <cellStyle name="Hipervínculo" xfId="521" builtinId="8" hidden="1"/>
    <cellStyle name="Hipervínculo" xfId="5" builtinId="8" hidden="1"/>
    <cellStyle name="Hipervínculo" xfId="435" builtinId="8" hidden="1"/>
    <cellStyle name="Hipervínculo" xfId="741" builtinId="8" hidden="1"/>
    <cellStyle name="Hipervínculo" xfId="869" builtinId="8" hidden="1"/>
    <cellStyle name="Hipervínculo" xfId="77" builtinId="8" hidden="1"/>
    <cellStyle name="Hipervínculo" xfId="1" builtinId="8" hidden="1"/>
    <cellStyle name="Hipervínculo" xfId="997" builtinId="8" hidden="1"/>
    <cellStyle name="Hipervínculo" xfId="813" builtinId="8" hidden="1"/>
    <cellStyle name="Hipervínculo" xfId="975" builtinId="8" hidden="1"/>
    <cellStyle name="Hipervínculo" xfId="241" builtinId="8" hidden="1"/>
    <cellStyle name="Hipervínculo" xfId="751" builtinId="8" hidden="1"/>
    <cellStyle name="Hipervínculo" xfId="541" builtinId="8" hidden="1"/>
    <cellStyle name="Hipervínculo" xfId="911" builtinId="8" hidden="1"/>
    <cellStyle name="Hipervínculo" xfId="383" builtinId="8" hidden="1"/>
    <cellStyle name="Hipervínculo" xfId="913" builtinId="8" hidden="1"/>
    <cellStyle name="Hipervínculo" xfId="159" builtinId="8" hidden="1"/>
    <cellStyle name="Hipervínculo" xfId="181" builtinId="8" hidden="1"/>
    <cellStyle name="Hipervínculo" xfId="717" builtinId="8" hidden="1"/>
    <cellStyle name="Hipervínculo" xfId="825" builtinId="8" hidden="1"/>
    <cellStyle name="Hipervínculo" xfId="889" builtinId="8" hidden="1"/>
    <cellStyle name="Hipervínculo" xfId="357" builtinId="8" hidden="1"/>
    <cellStyle name="Hipervínculo" xfId="245" builtinId="8" hidden="1"/>
    <cellStyle name="Hipervínculo" xfId="645" builtinId="8" hidden="1"/>
    <cellStyle name="Hipervínculo" xfId="817" builtinId="8" hidden="1"/>
    <cellStyle name="Hipervínculo" xfId="515" builtinId="8" hidden="1"/>
    <cellStyle name="Hipervínculo" xfId="1071" builtinId="8" hidden="1"/>
    <cellStyle name="Hipervínculo" xfId="459" builtinId="8" hidden="1"/>
    <cellStyle name="Hipervínculo" xfId="331" builtinId="8" hidden="1"/>
    <cellStyle name="Hipervínculo" xfId="657" builtinId="8" hidden="1"/>
    <cellStyle name="Hipervínculo" xfId="283" builtinId="8" hidden="1"/>
    <cellStyle name="Hipervínculo" xfId="653" builtinId="8" hidden="1"/>
    <cellStyle name="Hipervínculo" xfId="831" builtinId="8" hidden="1"/>
    <cellStyle name="Hipervínculo" xfId="787" builtinId="8" hidden="1"/>
    <cellStyle name="Hipervínculo" xfId="963" builtinId="8" hidden="1"/>
    <cellStyle name="Hipervínculo" xfId="33" builtinId="8" hidden="1"/>
    <cellStyle name="Hipervínculo" xfId="289" builtinId="8" hidden="1"/>
    <cellStyle name="Hipervínculo" xfId="919" builtinId="8" hidden="1"/>
    <cellStyle name="Hipervínculo" xfId="969" builtinId="8" hidden="1"/>
    <cellStyle name="Hipervínculo" xfId="887" builtinId="8" hidden="1"/>
    <cellStyle name="Hipervínculo" xfId="535" builtinId="8" hidden="1"/>
    <cellStyle name="Hipervínculo" xfId="149" builtinId="8" hidden="1"/>
    <cellStyle name="Hipervínculo" xfId="109" builtinId="8" hidden="1"/>
    <cellStyle name="Hipervínculo" xfId="1027" builtinId="8" hidden="1"/>
    <cellStyle name="Hipervínculo" xfId="851" builtinId="8" hidden="1"/>
    <cellStyle name="Hipervínculo" xfId="971" builtinId="8" hidden="1"/>
    <cellStyle name="Hipervínculo" xfId="589" builtinId="8" hidden="1"/>
    <cellStyle name="Hipervínculo" xfId="397" builtinId="8" hidden="1"/>
    <cellStyle name="Hipervínculo" xfId="273" builtinId="8" hidden="1"/>
    <cellStyle name="Hipervínculo" xfId="395" builtinId="8" hidden="1"/>
    <cellStyle name="Hipervínculo" xfId="765" builtinId="8" hidden="1"/>
    <cellStyle name="Hipervínculo" xfId="1045" builtinId="8" hidden="1"/>
    <cellStyle name="Hipervínculo" xfId="547" builtinId="8" hidden="1"/>
    <cellStyle name="Hipervínculo" xfId="689" builtinId="8" hidden="1"/>
    <cellStyle name="Hipervínculo" xfId="697" builtinId="8" hidden="1"/>
    <cellStyle name="Hipervínculo" xfId="309" builtinId="8" hidden="1"/>
    <cellStyle name="Hipervínculo" xfId="1033" builtinId="8" hidden="1"/>
    <cellStyle name="Hipervínculo" xfId="97" builtinId="8" hidden="1"/>
    <cellStyle name="Hipervínculo" xfId="761" builtinId="8" hidden="1"/>
    <cellStyle name="Hipervínculo" xfId="201" builtinId="8" hidden="1"/>
    <cellStyle name="Hipervínculo" xfId="165" builtinId="8" hidden="1"/>
    <cellStyle name="Hipervínculo" xfId="1077" builtinId="8" hidden="1"/>
    <cellStyle name="Hipervínculo" xfId="223" builtinId="8" hidden="1"/>
    <cellStyle name="Hipervínculo" xfId="505" builtinId="8" hidden="1"/>
    <cellStyle name="Hipervínculo" xfId="753" builtinId="8" hidden="1"/>
    <cellStyle name="Hipervínculo" xfId="391" builtinId="8" hidden="1"/>
    <cellStyle name="Hipervínculo" xfId="935" builtinId="8" hidden="1"/>
    <cellStyle name="Hipervínculo" xfId="821" builtinId="8" hidden="1"/>
    <cellStyle name="Hipervínculo" xfId="619" builtinId="8" hidden="1"/>
    <cellStyle name="Hipervínculo" xfId="53" builtinId="8" hidden="1"/>
    <cellStyle name="Hipervínculo" xfId="1001" builtinId="8" hidden="1"/>
    <cellStyle name="Hipervínculo" xfId="847" builtinId="8" hidden="1"/>
    <cellStyle name="Hipervínculo" xfId="365" builtinId="8" hidden="1"/>
    <cellStyle name="Hipervínculo" xfId="735" builtinId="8" hidden="1"/>
    <cellStyle name="Hipervínculo" xfId="105" builtinId="8" hidden="1"/>
    <cellStyle name="Hipervínculo" xfId="251" builtinId="8" hidden="1"/>
    <cellStyle name="Hipervínculo" xfId="905" builtinId="8" hidden="1"/>
    <cellStyle name="Hipervínculo" xfId="363" builtinId="8" hidden="1"/>
    <cellStyle name="Hipervínculo" xfId="705" builtinId="8" hidden="1"/>
    <cellStyle name="Hipervínculo" xfId="217" builtinId="8" hidden="1"/>
    <cellStyle name="Hipervínculo" xfId="417" builtinId="8" hidden="1"/>
    <cellStyle name="Hipervínculo" xfId="79" builtinId="8" hidden="1"/>
    <cellStyle name="Hipervínculo" xfId="449" builtinId="8" hidden="1"/>
    <cellStyle name="Hipervínculo" xfId="15" builtinId="8" hidden="1"/>
    <cellStyle name="Hipervínculo" xfId="875" builtinId="8" hidden="1"/>
    <cellStyle name="Hipervínculo" xfId="107" builtinId="8" hidden="1"/>
    <cellStyle name="Hipervínculo" xfId="977" builtinId="8" hidden="1"/>
    <cellStyle name="Hipervínculo" xfId="135" builtinId="8" hidden="1"/>
    <cellStyle name="Hipervínculo" xfId="865" builtinId="8" hidden="1"/>
    <cellStyle name="Hipervínculo" xfId="733" builtinId="8" hidden="1"/>
    <cellStyle name="Hipervínculo" xfId="479" builtinId="8" hidden="1"/>
    <cellStyle name="Hipervínculo" xfId="561" builtinId="8" hidden="1"/>
    <cellStyle name="Hipervínculo" xfId="447" builtinId="8" hidden="1"/>
    <cellStyle name="Hipervínculo" xfId="1025" builtinId="8" hidden="1"/>
    <cellStyle name="Hipervínculo" xfId="903" builtinId="8" hidden="1"/>
    <cellStyle name="Hipervínculo" xfId="907" builtinId="8" hidden="1"/>
    <cellStyle name="Hipervínculo" xfId="537" builtinId="8" hidden="1"/>
    <cellStyle name="Hipervínculo" xfId="429" builtinId="8" hidden="1"/>
    <cellStyle name="Hipervínculo" xfId="185" builtinId="8" hidden="1"/>
    <cellStyle name="Hipervínculo" xfId="715" builtinId="8" hidden="1"/>
    <cellStyle name="Hipervínculo" xfId="721" builtinId="8" hidden="1"/>
    <cellStyle name="Hipervínculo" xfId="1017" builtinId="8" hidden="1"/>
    <cellStyle name="Hipervínculo" xfId="623" builtinId="8" hidden="1"/>
    <cellStyle name="Hipervínculo" xfId="253" builtinId="8" hidden="1"/>
    <cellStyle name="Hipervínculo" xfId="45" builtinId="8" hidden="1"/>
    <cellStyle name="Hipervínculo" xfId="337" builtinId="8" hidden="1"/>
    <cellStyle name="Hipervínculo" xfId="727" builtinId="8" hidden="1"/>
    <cellStyle name="Hipervínculo" xfId="1079" builtinId="8" hidden="1"/>
    <cellStyle name="Hipervínculo" xfId="953" builtinId="8" hidden="1"/>
    <cellStyle name="Hipervínculo" xfId="37" builtinId="8" hidden="1"/>
    <cellStyle name="Hipervínculo" xfId="567" builtinId="8" hidden="1"/>
    <cellStyle name="Hipervínculo" xfId="1051" builtinId="8" hidden="1"/>
    <cellStyle name="Hipervínculo" xfId="51" builtinId="8" hidden="1"/>
    <cellStyle name="Hipervínculo" xfId="1015" builtinId="8" hidden="1"/>
    <cellStyle name="Hipervínculo" xfId="795" builtinId="8" hidden="1"/>
    <cellStyle name="Hipervínculo" xfId="215" builtinId="8" hidden="1"/>
    <cellStyle name="Hipervínculo" xfId="27" builtinId="8" hidden="1"/>
    <cellStyle name="Hipervínculo" xfId="441" builtinId="8" hidden="1"/>
    <cellStyle name="Hipervínculo" xfId="559" builtinId="8" hidden="1"/>
    <cellStyle name="Hipervínculo" xfId="139" builtinId="8" hidden="1"/>
    <cellStyle name="Hipervínculo" xfId="673" builtinId="8" hidden="1"/>
    <cellStyle name="Hipervínculo" xfId="965" builtinId="8" hidden="1"/>
    <cellStyle name="Hipervínculo" xfId="145" builtinId="8" hidden="1"/>
    <cellStyle name="Hipervínculo" xfId="101" builtinId="8" hidden="1"/>
    <cellStyle name="Hipervínculo" xfId="171" builtinId="8" hidden="1"/>
    <cellStyle name="Hipervínculo" xfId="843" builtinId="8" hidden="1"/>
    <cellStyle name="Hipervínculo" xfId="439" builtinId="8" hidden="1"/>
    <cellStyle name="Hipervínculo" xfId="597" builtinId="8" hidden="1"/>
    <cellStyle name="Hipervínculo" xfId="517" builtinId="8" hidden="1"/>
    <cellStyle name="Hipervínculo" xfId="549" builtinId="8" hidden="1"/>
    <cellStyle name="Hipervínculo" xfId="773" builtinId="8" hidden="1"/>
    <cellStyle name="Hipervínculo" xfId="757" builtinId="8" hidden="1"/>
    <cellStyle name="Hipervínculo" xfId="1053" builtinId="8" hidden="1"/>
    <cellStyle name="Hipervínculo" xfId="985" builtinId="8" hidden="1"/>
    <cellStyle name="Hipervínculo" xfId="369" builtinId="8" hidden="1"/>
    <cellStyle name="Hipervínculo" xfId="115" builtinId="8" hidden="1"/>
    <cellStyle name="Hipervínculo" xfId="301" builtinId="8" hidden="1"/>
    <cellStyle name="Hipervínculo" xfId="759" builtinId="8" hidden="1"/>
    <cellStyle name="Hipervínculo" xfId="1041" builtinId="8" hidden="1"/>
    <cellStyle name="Hipervínculo" xfId="255" builtinId="8" hidden="1"/>
    <cellStyle name="Hipervínculo" xfId="399" builtinId="8" hidden="1"/>
    <cellStyle name="Hipervínculo" xfId="123" builtinId="8" hidden="1"/>
    <cellStyle name="Hipervínculo" xfId="473" builtinId="8" hidden="1"/>
    <cellStyle name="Hipervínculo" xfId="805" builtinId="8" hidden="1"/>
    <cellStyle name="Hipervínculo" xfId="627" builtinId="8" hidden="1"/>
    <cellStyle name="Hipervínculo" xfId="499" builtinId="8" hidden="1"/>
    <cellStyle name="Hipervínculo" xfId="713" builtinId="8" hidden="1"/>
    <cellStyle name="Hipervínculo" xfId="407" builtinId="8" hidden="1"/>
    <cellStyle name="Hipervínculo" xfId="1085" builtinId="8" hidden="1"/>
    <cellStyle name="Hipervínculo" xfId="1069" builtinId="8" hidden="1"/>
    <cellStyle name="Hipervínculo" xfId="891" builtinId="8" hidden="1"/>
    <cellStyle name="Hipervínculo" xfId="209" builtinId="8" hidden="1"/>
    <cellStyle name="Hipervínculo" xfId="967" builtinId="8" hidden="1"/>
    <cellStyle name="Hipervínculo" xfId="207" builtinId="8" hidden="1"/>
    <cellStyle name="Hipervínculo" xfId="35" builtinId="8" hidden="1"/>
    <cellStyle name="Hipervínculo" xfId="501" builtinId="8" hidden="1"/>
    <cellStyle name="Hipervínculo" xfId="783" builtinId="8" hidden="1"/>
    <cellStyle name="Hipervínculo" xfId="61" builtinId="8" hidden="1"/>
    <cellStyle name="Hipervínculo" xfId="833" builtinId="8" hidden="1"/>
    <cellStyle name="Hipervínculo" xfId="287" builtinId="8" hidden="1"/>
    <cellStyle name="Hipervínculo" xfId="937" builtinId="8" hidden="1"/>
    <cellStyle name="Hipervínculo" xfId="199" builtinId="8" hidden="1"/>
    <cellStyle name="Hipervínculo" xfId="719" builtinId="8" hidden="1"/>
    <cellStyle name="Hipervínculo" xfId="1067" builtinId="8" hidden="1"/>
    <cellStyle name="Hipervínculo" xfId="373" builtinId="8" hidden="1"/>
    <cellStyle name="Hipervínculo" xfId="807" builtinId="8" hidden="1"/>
    <cellStyle name="Hipervínculo" xfId="581" builtinId="8" hidden="1"/>
    <cellStyle name="Hipervínculo" xfId="529" builtinId="8" hidden="1"/>
    <cellStyle name="Hipervínculo" xfId="579" builtinId="8" hidden="1"/>
    <cellStyle name="Hipervínculo" xfId="731" builtinId="8" hidden="1"/>
    <cellStyle name="Hipervínculo" xfId="315" builtinId="8" hidden="1"/>
    <cellStyle name="Hipervínculo" xfId="693" builtinId="8" hidden="1"/>
    <cellStyle name="Hipervínculo" xfId="233" builtinId="8" hidden="1"/>
    <cellStyle name="Hipervínculo" xfId="655" builtinId="8" hidden="1"/>
    <cellStyle name="Hipervínculo" xfId="525" builtinId="8" hidden="1"/>
    <cellStyle name="Hipervínculo" xfId="959" builtinId="8" hidden="1"/>
    <cellStyle name="Hipervínculo" xfId="915" builtinId="8" hidden="1"/>
    <cellStyle name="Hipervínculo" xfId="1059" builtinId="8" hidden="1"/>
    <cellStyle name="Hipervínculo" xfId="219" builtinId="8" hidden="1"/>
    <cellStyle name="Hipervínculo" xfId="955" builtinId="8" hidden="1"/>
    <cellStyle name="Hipervínculo" xfId="71" builtinId="8" hidden="1"/>
    <cellStyle name="Hipervínculo" xfId="503" builtinId="8" hidden="1"/>
    <cellStyle name="Hipervínculo" xfId="855" builtinId="8" hidden="1"/>
    <cellStyle name="Hipervínculo" xfId="809" builtinId="8" hidden="1"/>
    <cellStyle name="Hipervínculo" xfId="371" builtinId="8" hidden="1"/>
    <cellStyle name="Hipervínculo" xfId="29" builtinId="8" hidden="1"/>
    <cellStyle name="Hipervínculo" xfId="931" builtinId="8" hidden="1"/>
    <cellStyle name="Hipervínculo" xfId="679" builtinId="8" hidden="1"/>
    <cellStyle name="Hipervínculo" xfId="25" builtinId="8" hidden="1"/>
    <cellStyle name="Hipervínculo" xfId="461" builtinId="8" hidden="1"/>
    <cellStyle name="Hipervínculo" xfId="347" builtinId="8" hidden="1"/>
    <cellStyle name="Hipervínculo" xfId="243" builtinId="8" hidden="1"/>
    <cellStyle name="Hipervínculo" xfId="267" builtinId="8" hidden="1"/>
    <cellStyle name="Hipervínculo" xfId="637" builtinId="8" hidden="1"/>
    <cellStyle name="Hipervínculo" xfId="1007" builtinId="8" hidden="1"/>
    <cellStyle name="Hipervínculo" xfId="451" builtinId="8" hidden="1"/>
    <cellStyle name="Hipervínculo" xfId="989" builtinId="8" hidden="1"/>
    <cellStyle name="Hipervínculo" xfId="189" builtinId="8" hidden="1"/>
    <cellStyle name="Hipervínculo" xfId="951" builtinId="8" hidden="1"/>
    <cellStyle name="Hipervínculo" xfId="551" builtinId="8" hidden="1"/>
    <cellStyle name="Hipervínculo" xfId="533" builtinId="8" hidden="1"/>
    <cellStyle name="Hipervínculo" xfId="1065" builtinId="8" hidden="1"/>
    <cellStyle name="Hipervínculo" xfId="519" builtinId="8" hidden="1"/>
    <cellStyle name="Hipervínculo" xfId="137" builtinId="8" hidden="1"/>
    <cellStyle name="Hipervínculo" xfId="93" builtinId="8" hidden="1"/>
    <cellStyle name="Hipervínculo" xfId="477" builtinId="8" hidden="1"/>
    <cellStyle name="Hipervínculo" xfId="701" builtinId="8" hidden="1"/>
    <cellStyle name="Hipervínculo" xfId="183" builtinId="8" hidden="1"/>
    <cellStyle name="Hipervínculo" xfId="605" builtinId="8" hidden="1"/>
    <cellStyle name="Hipervínculo" xfId="481" builtinId="8" hidden="1"/>
    <cellStyle name="Hipervínculo" xfId="249" builtinId="8" hidden="1"/>
    <cellStyle name="Hipervínculo" xfId="335" builtinId="8" hidden="1"/>
    <cellStyle name="Hipervínculo" xfId="991" builtinId="8" hidden="1"/>
    <cellStyle name="Hipervínculo" xfId="21" builtinId="8" hidden="1"/>
    <cellStyle name="Hipervínculo" xfId="1075" builtinId="8" hidden="1"/>
    <cellStyle name="Hipervínculo" xfId="7" builtinId="8" hidden="1"/>
    <cellStyle name="Hipervínculo" xfId="75" builtinId="8" hidden="1"/>
    <cellStyle name="Hipervínculo" xfId="877" builtinId="8" hidden="1"/>
    <cellStyle name="Hipervínculo" xfId="933" builtinId="8" hidden="1"/>
    <cellStyle name="Hipervínculo" xfId="691" builtinId="8" hidden="1"/>
    <cellStyle name="Hipervínculo" xfId="635" builtinId="8" hidden="1"/>
    <cellStyle name="Hipervínculo" xfId="1061" builtinId="8" hidden="1"/>
    <cellStyle name="Hipervínculo" xfId="379" builtinId="8" hidden="1"/>
    <cellStyle name="Hipervínculo" xfId="863" builtinId="8" hidden="1"/>
    <cellStyle name="Hipervínculo" xfId="221" builtinId="8" hidden="1"/>
    <cellStyle name="Hipervínculo" xfId="507" builtinId="8" hidden="1"/>
    <cellStyle name="Hipervínculo" xfId="67" builtinId="8" hidden="1"/>
    <cellStyle name="Hipervínculo" xfId="1009" builtinId="8" hidden="1"/>
    <cellStyle name="Hipervínculo" xfId="121" builtinId="8" hidden="1"/>
    <cellStyle name="Hipervínculo" xfId="313" builtinId="8" hidden="1"/>
    <cellStyle name="Hipervínculo" xfId="491" builtinId="8" hidden="1"/>
    <cellStyle name="Hipervínculo" xfId="861" builtinId="8" hidden="1"/>
    <cellStyle name="Hipervínculo" xfId="167" builtinId="8" hidden="1"/>
    <cellStyle name="Hipervínculo" xfId="573" builtinId="8" hidden="1"/>
    <cellStyle name="Hipervínculo" xfId="545" builtinId="8" hidden="1"/>
    <cellStyle name="Hipervínculo" xfId="41" builtinId="8" hidden="1"/>
    <cellStyle name="Hipervínculo" xfId="615" builtinId="8" hidden="1"/>
    <cellStyle name="Hipervínculo" xfId="599" builtinId="8" hidden="1"/>
    <cellStyle name="Hipervínculo" xfId="1035" builtinId="8" hidden="1"/>
    <cellStyle name="Hipervínculo" xfId="665" builtinId="8" hidden="1"/>
    <cellStyle name="Hipervínculo" xfId="295" builtinId="8" hidden="1"/>
    <cellStyle name="Hipervínculo" xfId="297" builtinId="8" hidden="1"/>
    <cellStyle name="Hipervínculo" xfId="829" builtinId="8" hidden="1"/>
    <cellStyle name="Hipervínculo" xfId="801" builtinId="8" hidden="1"/>
    <cellStyle name="Hipervínculo" xfId="291" builtinId="8" hidden="1"/>
    <cellStyle name="Hipervínculo" xfId="147" builtinId="8" hidden="1"/>
    <cellStyle name="Hipervínculo" xfId="381" builtinId="8" hidden="1"/>
    <cellStyle name="Hipervínculo" xfId="57" builtinId="8" hidden="1"/>
    <cellStyle name="Hipervínculo" xfId="425" builtinId="8" hidden="1"/>
    <cellStyle name="Hipervínculo" xfId="603" builtinId="8" hidden="1"/>
    <cellStyle name="Hipervínculo" xfId="683" builtinId="8" hidden="1"/>
    <cellStyle name="Hipervínculo" xfId="571" builtinId="8" hidden="1"/>
    <cellStyle name="Hipervínculo" xfId="467" builtinId="8" hidden="1"/>
    <cellStyle name="Hipervínculo" xfId="1019" builtinId="8" hidden="1"/>
    <cellStyle name="Hipervínculo" xfId="339" builtinId="8" hidden="1"/>
    <cellStyle name="Hipervínculo" xfId="1083" builtinId="8" hidden="1"/>
    <cellStyle name="Hipervínculo" xfId="777" builtinId="8" hidden="1"/>
    <cellStyle name="Hipervínculo" xfId="923" builtinId="8" hidden="1"/>
    <cellStyle name="Hipervínculo" xfId="553" builtinId="8" hidden="1"/>
    <cellStyle name="Hipervínculo" xfId="941" builtinId="8" hidden="1"/>
    <cellStyle name="Hipervínculo" xfId="827" builtinId="8" hidden="1"/>
    <cellStyle name="Hipervínculo" xfId="431" builtinId="8" hidden="1"/>
    <cellStyle name="Hipervínculo" xfId="483" builtinId="8" hidden="1"/>
    <cellStyle name="Hipervínculo" xfId="405" builtinId="8" hidden="1"/>
    <cellStyle name="Hipervínculo" xfId="1087" builtinId="8" hidden="1"/>
    <cellStyle name="Hipervínculo" xfId="269" builtinId="8" hidden="1"/>
    <cellStyle name="Hipervínculo" xfId="9" builtinId="8" hidden="1"/>
    <cellStyle name="Hipervínculo" xfId="353" builtinId="8" hidden="1"/>
    <cellStyle name="Hipervínculo" xfId="981" builtinId="8" hidden="1"/>
    <cellStyle name="Hipervínculo" xfId="187" builtinId="8" hidden="1"/>
    <cellStyle name="Hipervínculo" xfId="725" builtinId="8" hidden="1"/>
    <cellStyle name="Hipervínculo" xfId="771" builtinId="8" hidden="1"/>
    <cellStyle name="Hipervínculo" xfId="803" builtinId="8" hidden="1"/>
    <cellStyle name="Hipervínculo" xfId="341" builtinId="8" hidden="1"/>
    <cellStyle name="Hipervínculo" xfId="629" builtinId="8" hidden="1"/>
    <cellStyle name="Hipervínculo" xfId="999" builtinId="8" hidden="1"/>
    <cellStyle name="Hipervínculo" xfId="811" builtinId="8" hidden="1"/>
    <cellStyle name="Hipervínculo" xfId="945" builtinId="8" hidden="1"/>
    <cellStyle name="Hipervínculo" xfId="455" builtinId="8" hidden="1"/>
    <cellStyle name="Hipervínculo" xfId="119" builtinId="8" hidden="1"/>
    <cellStyle name="Hipervínculo" xfId="543" builtinId="8" hidden="1"/>
    <cellStyle name="Hipervínculo" xfId="493" builtinId="8" hidden="1"/>
    <cellStyle name="Hipervínculo" xfId="191" builtinId="8" hidden="1"/>
    <cellStyle name="Hipervínculo" xfId="527" builtinId="8" hidden="1"/>
    <cellStyle name="Hipervínculo" xfId="133" builtinId="8" hidden="1"/>
    <cellStyle name="Hipervínculo" xfId="85" builtinId="8" hidden="1"/>
    <cellStyle name="Hipervínculo" xfId="641" builtinId="8" hidden="1"/>
    <cellStyle name="Hipervínculo" xfId="169" builtinId="8" hidden="1"/>
    <cellStyle name="Hipervínculo" xfId="279" builtinId="8" hidden="1"/>
    <cellStyle name="Hipervínculo" xfId="55" builtinId="8" hidden="1"/>
    <cellStyle name="Hipervínculo" xfId="179" builtinId="8" hidden="1"/>
    <cellStyle name="Hipervínculo" xfId="983" builtinId="8" hidden="1"/>
    <cellStyle name="Hipervínculo" xfId="343" builtinId="8" hidden="1"/>
    <cellStyle name="Hipervínculo" xfId="141" builtinId="8" hidden="1"/>
    <cellStyle name="Hipervínculo" xfId="1047" builtinId="8" hidden="1"/>
    <cellStyle name="Hipervínculo" xfId="211" builtinId="8" hidden="1"/>
    <cellStyle name="Hipervínculo" xfId="361" builtinId="8" hidden="1"/>
    <cellStyle name="Hipervínculo" xfId="19" builtinId="8" hidden="1"/>
    <cellStyle name="Hipervínculo" xfId="285" builtinId="8" hidden="1"/>
    <cellStyle name="Hipervínculo" xfId="663" builtinId="8" hidden="1"/>
    <cellStyle name="Hipervínculo" xfId="23" builtinId="8" hidden="1"/>
    <cellStyle name="Hipervínculo" xfId="737" builtinId="8" hidden="1"/>
    <cellStyle name="Hipervínculo" xfId="415" builtinId="8" hidden="1"/>
    <cellStyle name="Hipervínculo" xfId="157" builtinId="8" hidden="1"/>
    <cellStyle name="Hipervínculo" xfId="175" builtinId="8" hidden="1"/>
    <cellStyle name="Hipervínculo" xfId="569" builtinId="8" hidden="1"/>
    <cellStyle name="Hipervínculo" xfId="939" builtinId="8" hidden="1"/>
    <cellStyle name="Hipervínculo" xfId="871" builtinId="8" hidden="1"/>
    <cellStyle name="Hipervínculo" xfId="857" builtinId="8" hidden="1"/>
    <cellStyle name="Hipervínculo" xfId="81" builtinId="8" hidden="1"/>
    <cellStyle name="Hipervínculo" xfId="609" builtinId="8" hidden="1"/>
    <cellStyle name="Hipervínculo" xfId="675" builtinId="8" hidden="1"/>
    <cellStyle name="Hipervínculo" xfId="853" builtinId="8" hidden="1"/>
    <cellStyle name="Hipervínculo" xfId="687" builtinId="8" hidden="1"/>
    <cellStyle name="Hipervínculo" xfId="587" builtinId="8" hidden="1"/>
    <cellStyle name="Hipervínculo" xfId="433" builtinId="8" hidden="1"/>
    <cellStyle name="Hipervínculo" xfId="47" builtinId="8" hidden="1"/>
    <cellStyle name="Hipervínculo" xfId="921" builtinId="8" hidden="1"/>
    <cellStyle name="Hipervínculo" xfId="1023" builtinId="8" hidden="1"/>
    <cellStyle name="Hipervínculo" xfId="1043" builtinId="8" hidden="1"/>
    <cellStyle name="Hipervínculo" xfId="739" builtinId="8" hidden="1"/>
    <cellStyle name="Hipervínculo" xfId="303" builtinId="8" hidden="1"/>
    <cellStyle name="Hipervínculo" xfId="723" builtinId="8" hidden="1"/>
    <cellStyle name="Hipervínculo" xfId="311" builtinId="8" hidden="1"/>
    <cellStyle name="Hipervínculo" xfId="681" builtinId="8" hidden="1"/>
    <cellStyle name="Hipervínculo" xfId="65" builtinId="8" hidden="1"/>
    <cellStyle name="Hipervínculo" xfId="31" builtinId="8" hidden="1"/>
    <cellStyle name="Hipervínculo" xfId="957" builtinId="8" hidden="1"/>
    <cellStyle name="Hipervínculo" xfId="261" builtinId="8" hidden="1"/>
    <cellStyle name="Hipervínculo" xfId="995" builtinId="8" hidden="1"/>
    <cellStyle name="Hipervínculo" xfId="595" builtinId="8" hidden="1"/>
    <cellStyle name="Hipervínculo" xfId="1021" builtinId="8" hidden="1"/>
    <cellStyle name="Hipervínculo" xfId="465" builtinId="8" hidden="1"/>
    <cellStyle name="Hipervínculo" xfId="651" builtinId="8" hidden="1"/>
    <cellStyle name="Hipervínculo" xfId="393" builtinId="8" hidden="1"/>
    <cellStyle name="Hipervínculo" xfId="387" builtinId="8" hidden="1"/>
    <cellStyle name="Hipervínculo" xfId="17" builtinId="8" hidden="1"/>
    <cellStyle name="Hipervínculo" xfId="333" builtinId="8" hidden="1"/>
    <cellStyle name="Hipervínculo" xfId="509" builtinId="8" hidden="1"/>
    <cellStyle name="Hipervínculo" xfId="163" builtinId="8" hidden="1"/>
    <cellStyle name="Hipervínculo" xfId="1073" builtinId="8" hidden="1"/>
    <cellStyle name="Hipervínculo" xfId="281" builtinId="8" hidden="1"/>
    <cellStyle name="Hipervínculo" xfId="611" builtinId="8" hidden="1"/>
    <cellStyle name="Hipervínculo" xfId="367" builtinId="8" hidden="1"/>
    <cellStyle name="Hipervínculo" xfId="845" builtinId="8" hidden="1"/>
    <cellStyle name="Hipervínculo" xfId="95" builtinId="8" hidden="1"/>
    <cellStyle name="Hipervínculo" xfId="247" builtinId="8" hidden="1"/>
    <cellStyle name="Hipervínculo" xfId="961" builtinId="8" hidden="1"/>
    <cellStyle name="Hipervínculo" xfId="475" builtinId="8" hidden="1"/>
    <cellStyle name="Hipervínculo" xfId="225" builtinId="8" hidden="1"/>
    <cellStyle name="Hipervínculo" xfId="879" builtinId="8" hidden="1"/>
    <cellStyle name="Hipervínculo" xfId="897" builtinId="8" hidden="1"/>
    <cellStyle name="Hipervínculo" xfId="173" builtinId="8" hidden="1"/>
    <cellStyle name="Hipervínculo" xfId="497" builtinId="8" hidden="1"/>
    <cellStyle name="Hipervínculo" xfId="113" builtinId="8" hidden="1"/>
    <cellStyle name="Hipervínculo" xfId="707" builtinId="8" hidden="1"/>
    <cellStyle name="Hipervínculo" xfId="423" builtinId="8" hidden="1"/>
    <cellStyle name="Hipervínculo" xfId="789" builtinId="8" hidden="1"/>
    <cellStyle name="Hipervínculo" xfId="793" builtinId="8" hidden="1"/>
    <cellStyle name="Hipervínculo" xfId="307" builtinId="8" hidden="1"/>
    <cellStyle name="Hipervínculo" xfId="647" builtinId="8" hidden="1"/>
    <cellStyle name="Hipervínculo" xfId="565" builtinId="8" hidden="1"/>
    <cellStyle name="Hipervínculo" xfId="277" builtinId="8" hidden="1"/>
    <cellStyle name="Hipervínculo visitado" xfId="812" builtinId="9" hidden="1"/>
    <cellStyle name="Hipervínculo visitado" xfId="1066" builtinId="9" hidden="1"/>
    <cellStyle name="Hipervínculo visitado" xfId="332" builtinId="9" hidden="1"/>
    <cellStyle name="Hipervínculo visitado" xfId="612" builtinId="9" hidden="1"/>
    <cellStyle name="Hipervínculo visitado" xfId="544" builtinId="9" hidden="1"/>
    <cellStyle name="Hipervínculo visitado" xfId="1068" builtinId="9" hidden="1"/>
    <cellStyle name="Hipervínculo visitado" xfId="46" builtinId="9" hidden="1"/>
    <cellStyle name="Hipervínculo visitado" xfId="1050" builtinId="9" hidden="1"/>
    <cellStyle name="Hipervínculo visitado" xfId="180" builtinId="9" hidden="1"/>
    <cellStyle name="Hipervínculo visitado" xfId="508" builtinId="9" hidden="1"/>
    <cellStyle name="Hipervínculo visitado" xfId="436" builtinId="9" hidden="1"/>
    <cellStyle name="Hipervínculo visitado" xfId="442" builtinId="9" hidden="1"/>
    <cellStyle name="Hipervínculo visitado" xfId="498" builtinId="9" hidden="1"/>
    <cellStyle name="Hipervínculo visitado" xfId="894" builtinId="9" hidden="1"/>
    <cellStyle name="Hipervínculo visitado" xfId="694" builtinId="9" hidden="1"/>
    <cellStyle name="Hipervínculo visitado" xfId="990" builtinId="9" hidden="1"/>
    <cellStyle name="Hipervínculo visitado" xfId="876" builtinId="9" hidden="1"/>
    <cellStyle name="Hipervínculo visitado" xfId="530" builtinId="9" hidden="1"/>
    <cellStyle name="Hipervínculo visitado" xfId="510" builtinId="9" hidden="1"/>
    <cellStyle name="Hipervínculo visitado" xfId="524" builtinId="9" hidden="1"/>
    <cellStyle name="Hipervínculo visitado" xfId="494" builtinId="9" hidden="1"/>
    <cellStyle name="Hipervínculo visitado" xfId="866" builtinId="9" hidden="1"/>
    <cellStyle name="Hipervínculo visitado" xfId="882" builtinId="9" hidden="1"/>
    <cellStyle name="Hipervínculo visitado" xfId="466" builtinId="9" hidden="1"/>
    <cellStyle name="Hipervínculo visitado" xfId="844" builtinId="9" hidden="1"/>
    <cellStyle name="Hipervínculo visitado" xfId="356" builtinId="9" hidden="1"/>
    <cellStyle name="Hipervínculo visitado" xfId="262" builtinId="9" hidden="1"/>
    <cellStyle name="Hipervínculo visitado" xfId="536" builtinId="9" hidden="1"/>
    <cellStyle name="Hipervínculo visitado" xfId="88" builtinId="9" hidden="1"/>
    <cellStyle name="Hipervínculo visitado" xfId="528" builtinId="9" hidden="1"/>
    <cellStyle name="Hipervínculo visitado" xfId="556" builtinId="9" hidden="1"/>
    <cellStyle name="Hipervínculo visitado" xfId="242" builtinId="9" hidden="1"/>
    <cellStyle name="Hipervínculo visitado" xfId="506" builtinId="9" hidden="1"/>
    <cellStyle name="Hipervínculo visitado" xfId="566" builtinId="9" hidden="1"/>
    <cellStyle name="Hipervínculo visitado" xfId="412" builtinId="9" hidden="1"/>
    <cellStyle name="Hipervínculo visitado" xfId="492" builtinId="9" hidden="1"/>
    <cellStyle name="Hipervínculo visitado" xfId="588" builtinId="9" hidden="1"/>
    <cellStyle name="Hipervínculo visitado" xfId="152" builtinId="9" hidden="1"/>
    <cellStyle name="Hipervínculo visitado" xfId="700" builtinId="9" hidden="1"/>
    <cellStyle name="Hipervínculo visitado" xfId="190" builtinId="9" hidden="1"/>
    <cellStyle name="Hipervínculo visitado" xfId="418" builtinId="9" hidden="1"/>
    <cellStyle name="Hipervínculo visitado" xfId="540" builtinId="9" hidden="1"/>
    <cellStyle name="Hipervínculo visitado" xfId="462" builtinId="9" hidden="1"/>
    <cellStyle name="Hipervínculo visitado" xfId="56" builtinId="9" hidden="1"/>
    <cellStyle name="Hipervínculo visitado" xfId="550" builtinId="9" hidden="1"/>
    <cellStyle name="Hipervínculo visitado" xfId="478" builtinId="9" hidden="1"/>
    <cellStyle name="Hipervínculo visitado" xfId="414" builtinId="9" hidden="1"/>
    <cellStyle name="Hipervínculo visitado" xfId="230" builtinId="9" hidden="1"/>
    <cellStyle name="Hipervínculo visitado" xfId="376" builtinId="9" hidden="1"/>
    <cellStyle name="Hipervínculo visitado" xfId="748" builtinId="9" hidden="1"/>
    <cellStyle name="Hipervínculo visitado" xfId="122" builtinId="9" hidden="1"/>
    <cellStyle name="Hipervínculo visitado" xfId="782" builtinId="9" hidden="1"/>
    <cellStyle name="Hipervínculo visitado" xfId="904" builtinId="9" hidden="1"/>
    <cellStyle name="Hipervínculo visitado" xfId="344" builtinId="9" hidden="1"/>
    <cellStyle name="Hipervínculo visitado" xfId="220" builtinId="9" hidden="1"/>
    <cellStyle name="Hipervínculo visitado" xfId="936" builtinId="9" hidden="1"/>
    <cellStyle name="Hipervínculo visitado" xfId="388" builtinId="9" hidden="1"/>
    <cellStyle name="Hipervínculo visitado" xfId="420" builtinId="9" hidden="1"/>
    <cellStyle name="Hipervínculo visitado" xfId="410" builtinId="9" hidden="1"/>
    <cellStyle name="Hipervínculo visitado" xfId="828" builtinId="9" hidden="1"/>
    <cellStyle name="Hipervínculo visitado" xfId="582" builtinId="9" hidden="1"/>
    <cellStyle name="Hipervínculo visitado" xfId="474" builtinId="9" hidden="1"/>
    <cellStyle name="Hipervínculo visitado" xfId="364" builtinId="9" hidden="1"/>
    <cellStyle name="Hipervínculo visitado" xfId="326" builtinId="9" hidden="1"/>
    <cellStyle name="Hipervínculo visitado" xfId="572" builtinId="9" hidden="1"/>
    <cellStyle name="Hipervínculo visitado" xfId="354" builtinId="9" hidden="1"/>
    <cellStyle name="Hipervínculo visitado" xfId="984" builtinId="9" hidden="1"/>
    <cellStyle name="Hipervínculo visitado" xfId="598" builtinId="9" hidden="1"/>
    <cellStyle name="Hipervínculo visitado" xfId="490" builtinId="9" hidden="1"/>
    <cellStyle name="Hipervínculo visitado" xfId="290" builtinId="9" hidden="1"/>
    <cellStyle name="Hipervínculo visitado" xfId="836" builtinId="9" hidden="1"/>
    <cellStyle name="Hipervínculo visitado" xfId="68" builtinId="9" hidden="1"/>
    <cellStyle name="Hipervínculo visitado" xfId="774" builtinId="9" hidden="1"/>
    <cellStyle name="Hipervínculo visitado" xfId="644" builtinId="9" hidden="1"/>
    <cellStyle name="Hipervínculo visitado" xfId="434" builtinId="9" hidden="1"/>
    <cellStyle name="Hipervínculo visitado" xfId="76" builtinId="9" hidden="1"/>
    <cellStyle name="Hipervínculo visitado" xfId="850" builtinId="9" hidden="1"/>
    <cellStyle name="Hipervínculo visitado" xfId="808" builtinId="9" hidden="1"/>
    <cellStyle name="Hipervínculo visitado" xfId="906" builtinId="9" hidden="1"/>
    <cellStyle name="Hipervínculo visitado" xfId="396" builtinId="9" hidden="1"/>
    <cellStyle name="Hipervínculo visitado" xfId="580" builtinId="9" hidden="1"/>
    <cellStyle name="Hipervínculo visitado" xfId="796" builtinId="9" hidden="1"/>
    <cellStyle name="Hipervínculo visitado" xfId="280" builtinId="9" hidden="1"/>
    <cellStyle name="Hipervínculo visitado" xfId="610" builtinId="9" hidden="1"/>
    <cellStyle name="Hipervínculo visitado" xfId="666" builtinId="9" hidden="1"/>
    <cellStyle name="Hipervínculo visitado" xfId="798" builtinId="9" hidden="1"/>
    <cellStyle name="Hipervínculo visitado" xfId="6" builtinId="9" hidden="1"/>
    <cellStyle name="Hipervínculo visitado" xfId="408" builtinId="9" hidden="1"/>
    <cellStyle name="Hipervínculo visitado" xfId="642" builtinId="9" hidden="1"/>
    <cellStyle name="Hipervínculo visitado" xfId="272" builtinId="9" hidden="1"/>
    <cellStyle name="Hipervínculo visitado" xfId="390" builtinId="9" hidden="1"/>
    <cellStyle name="Hipervínculo visitado" xfId="838" builtinId="9" hidden="1"/>
    <cellStyle name="Hipervínculo visitado" xfId="1026" builtinId="9" hidden="1"/>
    <cellStyle name="Hipervínculo visitado" xfId="720" builtinId="9" hidden="1"/>
    <cellStyle name="Hipervínculo visitado" xfId="1028" builtinId="9" hidden="1"/>
    <cellStyle name="Hipervínculo visitado" xfId="518" builtinId="9" hidden="1"/>
    <cellStyle name="Hipervínculo visitado" xfId="686" builtinId="9" hidden="1"/>
    <cellStyle name="Hipervínculo visitado" xfId="1054" builtinId="9" hidden="1"/>
    <cellStyle name="Hipervínculo visitado" xfId="618" builtinId="9" hidden="1"/>
    <cellStyle name="Hipervínculo visitado" xfId="432" builtinId="9" hidden="1"/>
    <cellStyle name="Hipervínculo visitado" xfId="202" builtinId="9" hidden="1"/>
    <cellStyle name="Hipervínculo visitado" xfId="736" builtinId="9" hidden="1"/>
    <cellStyle name="Hipervínculo visitado" xfId="134" builtinId="9" hidden="1"/>
    <cellStyle name="Hipervínculo visitado" xfId="320" builtinId="9" hidden="1"/>
    <cellStyle name="Hipervínculo visitado" xfId="160" builtinId="9" hidden="1"/>
    <cellStyle name="Hipervínculo visitado" xfId="600" builtinId="9" hidden="1"/>
    <cellStyle name="Hipervínculo visitado" xfId="34" builtinId="9" hidden="1"/>
    <cellStyle name="Hipervínculo visitado" xfId="568" builtinId="9" hidden="1"/>
    <cellStyle name="Hipervínculo visitado" xfId="912" builtinId="9" hidden="1"/>
    <cellStyle name="Hipervínculo visitado" xfId="44" builtinId="9" hidden="1"/>
    <cellStyle name="Hipervínculo visitado" xfId="276" builtinId="9" hidden="1"/>
    <cellStyle name="Hipervínculo visitado" xfId="886" builtinId="9" hidden="1"/>
    <cellStyle name="Hipervínculo visitado" xfId="206" builtinId="9" hidden="1"/>
    <cellStyle name="Hipervínculo visitado" xfId="634" builtinId="9" hidden="1"/>
    <cellStyle name="Hipervínculo visitado" xfId="560" builtinId="9" hidden="1"/>
    <cellStyle name="Hipervínculo visitado" xfId="54" builtinId="9" hidden="1"/>
    <cellStyle name="Hipervínculo visitado" xfId="166" builtinId="9" hidden="1"/>
    <cellStyle name="Hipervínculo visitado" xfId="224" builtinId="9" hidden="1"/>
    <cellStyle name="Hipervínculo visitado" xfId="954" builtinId="9" hidden="1"/>
    <cellStyle name="Hipervínculo visitado" xfId="184" builtinId="9" hidden="1"/>
    <cellStyle name="Hipervínculo visitado" xfId="318" builtinId="9" hidden="1"/>
    <cellStyle name="Hipervínculo visitado" xfId="710" builtinId="9" hidden="1"/>
    <cellStyle name="Hipervínculo visitado" xfId="834" builtinId="9" hidden="1"/>
    <cellStyle name="Hipervínculo visitado" xfId="240" builtinId="9" hidden="1"/>
    <cellStyle name="Hipervínculo visitado" xfId="730" builtinId="9" hidden="1"/>
    <cellStyle name="Hipervínculo visitado" xfId="1088" builtinId="9" hidden="1"/>
    <cellStyle name="Hipervínculo visitado" xfId="860" builtinId="9" hidden="1"/>
    <cellStyle name="Hipervínculo visitado" xfId="72" builtinId="9" hidden="1"/>
    <cellStyle name="Hipervínculo visitado" xfId="948" builtinId="9" hidden="1"/>
    <cellStyle name="Hipervínculo visitado" xfId="760" builtinId="9" hidden="1"/>
    <cellStyle name="Hipervínculo visitado" xfId="678" builtinId="9" hidden="1"/>
    <cellStyle name="Hipervínculo visitado" xfId="630" builtinId="9" hidden="1"/>
    <cellStyle name="Hipervínculo visitado" xfId="266" builtinId="9" hidden="1"/>
    <cellStyle name="Hipervínculo visitado" xfId="178" builtinId="9" hidden="1"/>
    <cellStyle name="Hipervínculo visitado" xfId="470" builtinId="9" hidden="1"/>
    <cellStyle name="Hipervínculo visitado" xfId="204" builtinId="9" hidden="1"/>
    <cellStyle name="Hipervínculo visitado" xfId="516" builtinId="9" hidden="1"/>
    <cellStyle name="Hipervínculo visitado" xfId="660" builtinId="9" hidden="1"/>
    <cellStyle name="Hipervínculo visitado" xfId="480" builtinId="9" hidden="1"/>
    <cellStyle name="Hipervínculo visitado" xfId="892" builtinId="9" hidden="1"/>
    <cellStyle name="Hipervínculo visitado" xfId="726" builtinId="9" hidden="1"/>
    <cellStyle name="Hipervínculo visitado" xfId="638" builtinId="9" hidden="1"/>
    <cellStyle name="Hipervínculo visitado" xfId="546" builtinId="9" hidden="1"/>
    <cellStyle name="Hipervínculo visitado" xfId="574" builtinId="9" hidden="1"/>
    <cellStyle name="Hipervínculo visitado" xfId="254" builtinId="9" hidden="1"/>
    <cellStyle name="Hipervínculo visitado" xfId="594" builtinId="9" hidden="1"/>
    <cellStyle name="Hipervínculo visitado" xfId="856" builtinId="9" hidden="1"/>
    <cellStyle name="Hipervínculo visitado" xfId="402" builtinId="9" hidden="1"/>
    <cellStyle name="Hipervínculo visitado" xfId="788" builtinId="9" hidden="1"/>
    <cellStyle name="Hipervínculo visitado" xfId="542" builtinId="9" hidden="1"/>
    <cellStyle name="Hipervínculo visitado" xfId="698" builtinId="9" hidden="1"/>
    <cellStyle name="Hipervínculo visitado" xfId="174" builtinId="9" hidden="1"/>
    <cellStyle name="Hipervínculo visitado" xfId="724" builtinId="9" hidden="1"/>
    <cellStyle name="Hipervínculo visitado" xfId="308" builtinId="9" hidden="1"/>
    <cellStyle name="Hipervínculo visitado" xfId="250" builtinId="9" hidden="1"/>
    <cellStyle name="Hipervínculo visitado" xfId="946" builtinId="9" hidden="1"/>
    <cellStyle name="Hipervínculo visitado" xfId="922" builtinId="9" hidden="1"/>
    <cellStyle name="Hipervínculo visitado" xfId="226" builtinId="9" hidden="1"/>
    <cellStyle name="Hipervínculo visitado" xfId="786" builtinId="9" hidden="1"/>
    <cellStyle name="Hipervínculo visitado" xfId="924" builtinId="9" hidden="1"/>
    <cellStyle name="Hipervínculo visitado" xfId="988" builtinId="9" hidden="1"/>
    <cellStyle name="Hipervínculo visitado" xfId="1002" builtinId="9" hidden="1"/>
    <cellStyle name="Hipervínculo visitado" xfId="156" builtinId="9" hidden="1"/>
    <cellStyle name="Hipervínculo visitado" xfId="1076" builtinId="9" hidden="1"/>
    <cellStyle name="Hipervínculo visitado" xfId="966" builtinId="9" hidden="1"/>
    <cellStyle name="Hipervínculo visitado" xfId="248" builtinId="9" hidden="1"/>
    <cellStyle name="Hipervínculo visitado" xfId="916" builtinId="9" hidden="1"/>
    <cellStyle name="Hipervínculo visitado" xfId="298" builtinId="9" hidden="1"/>
    <cellStyle name="Hipervínculo visitado" xfId="28" builtinId="9" hidden="1"/>
    <cellStyle name="Hipervínculo visitado" xfId="14" builtinId="9" hidden="1"/>
    <cellStyle name="Hipervínculo visitado" xfId="16" builtinId="9" hidden="1"/>
    <cellStyle name="Hipervínculo visitado" xfId="52" builtinId="9" hidden="1"/>
    <cellStyle name="Hipervínculo visitado" xfId="688" builtinId="9" hidden="1"/>
    <cellStyle name="Hipervínculo visitado" xfId="674" builtinId="9" hidden="1"/>
    <cellStyle name="Hipervínculo visitado" xfId="40" builtinId="9" hidden="1"/>
    <cellStyle name="Hipervínculo visitado" xfId="296" builtinId="9" hidden="1"/>
    <cellStyle name="Hipervínculo visitado" xfId="538" builtinId="9" hidden="1"/>
    <cellStyle name="Hipervínculo visitado" xfId="522" builtinId="9" hidden="1"/>
    <cellStyle name="Hipervínculo visitado" xfId="534" builtinId="9" hidden="1"/>
    <cellStyle name="Hipervínculo visitado" xfId="646" builtinId="9" hidden="1"/>
    <cellStyle name="Hipervínculo visitado" xfId="752" builtinId="9" hidden="1"/>
    <cellStyle name="Hipervínculo visitado" xfId="328" builtinId="9" hidden="1"/>
    <cellStyle name="Hipervínculo visitado" xfId="950" builtinId="9" hidden="1"/>
    <cellStyle name="Hipervínculo visitado" xfId="960" builtinId="9" hidden="1"/>
    <cellStyle name="Hipervínculo visitado" xfId="734" builtinId="9" hidden="1"/>
    <cellStyle name="Hipervínculo visitado" xfId="592" builtinId="9" hidden="1"/>
    <cellStyle name="Hipervínculo visitado" xfId="136" builtinId="9" hidden="1"/>
    <cellStyle name="Hipervínculo visitado" xfId="792" builtinId="9" hidden="1"/>
    <cellStyle name="Hipervínculo visitado" xfId="448" builtinId="9" hidden="1"/>
    <cellStyle name="Hipervínculo visitado" xfId="168" builtinId="9" hidden="1"/>
    <cellStyle name="Hipervínculo visitado" xfId="232" builtinId="9" hidden="1"/>
    <cellStyle name="Hipervínculo visitado" xfId="386" builtinId="9" hidden="1"/>
    <cellStyle name="Hipervínculo visitado" xfId="286" builtinId="9" hidden="1"/>
    <cellStyle name="Hipervínculo visitado" xfId="30" builtinId="9" hidden="1"/>
    <cellStyle name="Hipervínculo visitado" xfId="704" builtinId="9" hidden="1"/>
    <cellStyle name="Hipervínculo visitado" xfId="826" builtinId="9" hidden="1"/>
    <cellStyle name="Hipervínculo visitado" xfId="768" builtinId="9" hidden="1"/>
    <cellStyle name="Hipervínculo visitado" xfId="1040" builtinId="9" hidden="1"/>
    <cellStyle name="Hipervínculo visitado" xfId="874" builtinId="9" hidden="1"/>
    <cellStyle name="Hipervínculo visitado" xfId="32" builtinId="9" hidden="1"/>
    <cellStyle name="Hipervínculo visitado" xfId="446" builtinId="9" hidden="1"/>
    <cellStyle name="Hipervínculo visitado" xfId="74" builtinId="9" hidden="1"/>
    <cellStyle name="Hipervínculo visitado" xfId="526" builtinId="9" hidden="1"/>
    <cellStyle name="Hipervínculo visitado" xfId="622" builtinId="9" hidden="1"/>
    <cellStyle name="Hipervínculo visitado" xfId="1060" builtinId="9" hidden="1"/>
    <cellStyle name="Hipervínculo visitado" xfId="964" builtinId="9" hidden="1"/>
    <cellStyle name="Hipervínculo visitado" xfId="488" builtinId="9" hidden="1"/>
    <cellStyle name="Hipervínculo visitado" xfId="972" builtinId="9" hidden="1"/>
    <cellStyle name="Hipervínculo visitado" xfId="1046" builtinId="9" hidden="1"/>
    <cellStyle name="Hipervínculo visitado" xfId="380" builtinId="9" hidden="1"/>
    <cellStyle name="Hipervínculo visitado" xfId="800" builtinId="9" hidden="1"/>
    <cellStyle name="Hipervínculo visitado" xfId="440" builtinId="9" hidden="1"/>
    <cellStyle name="Hipervínculo visitado" xfId="146" builtinId="9" hidden="1"/>
    <cellStyle name="Hipervínculo visitado" xfId="360" builtinId="9" hidden="1"/>
    <cellStyle name="Hipervínculo visitado" xfId="278" builtinId="9" hidden="1"/>
    <cellStyle name="Hipervínculo visitado" xfId="1090" builtinId="9" hidden="1"/>
    <cellStyle name="Hipervínculo visitado" xfId="1062" builtinId="9" hidden="1"/>
    <cellStyle name="Hipervínculo visitado" xfId="1082" builtinId="9" hidden="1"/>
    <cellStyle name="Hipervínculo visitado" xfId="994" builtinId="9" hidden="1"/>
    <cellStyle name="Hipervínculo visitado" xfId="1042" builtinId="9" hidden="1"/>
    <cellStyle name="Hipervínculo visitado" xfId="348" builtinId="9" hidden="1"/>
    <cellStyle name="Hipervínculo visitado" xfId="366" builtinId="9" hidden="1"/>
    <cellStyle name="Hipervínculo visitado" xfId="130" builtinId="9" hidden="1"/>
    <cellStyle name="Hipervínculo visitado" xfId="1004" builtinId="9" hidden="1"/>
    <cellStyle name="Hipervínculo visitado" xfId="324" builtinId="9" hidden="1"/>
    <cellStyle name="Hipervínculo visitado" xfId="858" builtinId="9" hidden="1"/>
    <cellStyle name="Hipervínculo visitado" xfId="496" builtinId="9" hidden="1"/>
    <cellStyle name="Hipervínculo visitado" xfId="732" builtinId="9" hidden="1"/>
    <cellStyle name="Hipervínculo visitado" xfId="1072" builtinId="9" hidden="1"/>
    <cellStyle name="Hipervínculo visitado" xfId="502" builtinId="9" hidden="1"/>
    <cellStyle name="Hipervínculo visitado" xfId="164" builtinId="9" hidden="1"/>
    <cellStyle name="Hipervínculo visitado" xfId="1086" builtinId="9" hidden="1"/>
    <cellStyle name="Hipervínculo visitado" xfId="992" builtinId="9" hidden="1"/>
    <cellStyle name="Hipervínculo visitado" xfId="706" builtinId="9" hidden="1"/>
    <cellStyle name="Hipervínculo visitado" xfId="584" builtinId="9" hidden="1"/>
    <cellStyle name="Hipervínculo visitado" xfId="1058" builtinId="9" hidden="1"/>
    <cellStyle name="Hipervínculo visitado" xfId="952" builtinId="9" hidden="1"/>
    <cellStyle name="Hipervínculo visitado" xfId="932" builtinId="9" hidden="1"/>
    <cellStyle name="Hipervínculo visitado" xfId="878" builtinId="9" hidden="1"/>
    <cellStyle name="Hipervínculo visitado" xfId="1038" builtinId="9" hidden="1"/>
    <cellStyle name="Hipervínculo visitado" xfId="864" builtinId="9" hidden="1"/>
    <cellStyle name="Hipervínculo visitado" xfId="586" builtinId="9" hidden="1"/>
    <cellStyle name="Hipervínculo visitado" xfId="216" builtinId="9" hidden="1"/>
    <cellStyle name="Hipervínculo visitado" xfId="416" builtinId="9" hidden="1"/>
    <cellStyle name="Hipervínculo visitado" xfId="636" builtinId="9" hidden="1"/>
    <cellStyle name="Hipervínculo visitado" xfId="940" builtinId="9" hidden="1"/>
    <cellStyle name="Hipervínculo visitado" xfId="982" builtinId="9" hidden="1"/>
    <cellStyle name="Hipervínculo visitado" xfId="1056" builtinId="9" hidden="1"/>
    <cellStyle name="Hipervínculo visitado" xfId="998" builtinId="9" hidden="1"/>
    <cellStyle name="Hipervínculo visitado" xfId="460" builtinId="9" hidden="1"/>
    <cellStyle name="Hipervínculo visitado" xfId="974" builtinId="9" hidden="1"/>
    <cellStyle name="Hipervínculo visitado" xfId="1016" builtinId="9" hidden="1"/>
    <cellStyle name="Hipervínculo visitado" xfId="1020" builtinId="9" hidden="1"/>
    <cellStyle name="Hipervínculo visitado" xfId="934" builtinId="9" hidden="1"/>
    <cellStyle name="Hipervínculo visitado" xfId="766" builtinId="9" hidden="1"/>
    <cellStyle name="Hipervínculo visitado" xfId="690" builtinId="9" hidden="1"/>
    <cellStyle name="Hipervínculo visitado" xfId="884" builtinId="9" hidden="1"/>
    <cellStyle name="Hipervínculo visitado" xfId="214" builtinId="9" hidden="1"/>
    <cellStyle name="Hipervínculo visitado" xfId="96" builtinId="9" hidden="1"/>
    <cellStyle name="Hipervínculo visitado" xfId="548" builtinId="9" hidden="1"/>
    <cellStyle name="Hipervínculo visitado" xfId="252" builtinId="9" hidden="1"/>
    <cellStyle name="Hipervínculo visitado" xfId="352" builtinId="9" hidden="1"/>
    <cellStyle name="Hipervínculo visitado" xfId="712" builtinId="9" hidden="1"/>
    <cellStyle name="Hipervínculo visitado" xfId="842" builtinId="9" hidden="1"/>
    <cellStyle name="Hipervínculo visitado" xfId="676" builtinId="9" hidden="1"/>
    <cellStyle name="Hipervínculo visitado" xfId="86" builtinId="9" hidden="1"/>
    <cellStyle name="Hipervínculo visitado" xfId="956" builtinId="9" hidden="1"/>
    <cellStyle name="Hipervínculo visitado" xfId="900" builtinId="9" hidden="1"/>
    <cellStyle name="Hipervínculo visitado" xfId="942" builtinId="9" hidden="1"/>
    <cellStyle name="Hipervínculo visitado" xfId="930" builtinId="9" hidden="1"/>
    <cellStyle name="Hipervínculo visitado" xfId="292" builtinId="9" hidden="1"/>
    <cellStyle name="Hipervínculo visitado" xfId="306" builtinId="9" hidden="1"/>
    <cellStyle name="Hipervínculo visitado" xfId="888" builtinId="9" hidden="1"/>
    <cellStyle name="Hipervínculo visitado" xfId="1014" builtinId="9" hidden="1"/>
    <cellStyle name="Hipervínculo visitado" xfId="832" builtinId="9" hidden="1"/>
    <cellStyle name="Hipervínculo visitado" xfId="868" builtinId="9" hidden="1"/>
    <cellStyle name="Hipervínculo visitado" xfId="818" builtinId="9" hidden="1"/>
    <cellStyle name="Hipervínculo visitado" xfId="928" builtinId="9" hidden="1"/>
    <cellStyle name="Hipervínculo visitado" xfId="986" builtinId="9" hidden="1"/>
    <cellStyle name="Hipervínculo visitado" xfId="854" builtinId="9" hidden="1"/>
    <cellStyle name="Hipervínculo visitado" xfId="140" builtinId="9" hidden="1"/>
    <cellStyle name="Hipervínculo visitado" xfId="824" builtinId="9" hidden="1"/>
    <cellStyle name="Hipervínculo visitado" xfId="284" builtinId="9" hidden="1"/>
    <cellStyle name="Hipervínculo visitado" xfId="1036" builtinId="9" hidden="1"/>
    <cellStyle name="Hipervínculo visitado" xfId="770" builtinId="9" hidden="1"/>
    <cellStyle name="Hipervínculo visitado" xfId="314" builtinId="9" hidden="1"/>
    <cellStyle name="Hipervínculo visitado" xfId="968" builtinId="9" hidden="1"/>
    <cellStyle name="Hipervínculo visitado" xfId="476" builtinId="9" hidden="1"/>
    <cellStyle name="Hipervínculo visitado" xfId="244" builtinId="9" hidden="1"/>
    <cellStyle name="Hipervínculo visitado" xfId="640" builtinId="9" hidden="1"/>
    <cellStyle name="Hipervínculo visitado" xfId="650" builtinId="9" hidden="1"/>
    <cellStyle name="Hipervínculo visitado" xfId="962" builtinId="9" hidden="1"/>
    <cellStyle name="Hipervínculo visitado" xfId="486" builtinId="9" hidden="1"/>
    <cellStyle name="Hipervínculo visitado" xfId="330" builtinId="9" hidden="1"/>
    <cellStyle name="Hipervínculo visitado" xfId="554" builtinId="9" hidden="1"/>
    <cellStyle name="Hipervínculo visitado" xfId="282" builtinId="9" hidden="1"/>
    <cellStyle name="Hipervínculo visitado" xfId="336" builtinId="9" hidden="1"/>
    <cellStyle name="Hipervínculo visitado" xfId="910" builtinId="9" hidden="1"/>
    <cellStyle name="Hipervínculo visitado" xfId="608" builtinId="9" hidden="1"/>
    <cellStyle name="Hipervínculo visitado" xfId="896" builtinId="9" hidden="1"/>
    <cellStyle name="Hipervínculo visitado" xfId="268" builtinId="9" hidden="1"/>
    <cellStyle name="Hipervínculo visitado" xfId="756" builtinId="9" hidden="1"/>
    <cellStyle name="Hipervínculo visitado" xfId="110" builtinId="9" hidden="1"/>
    <cellStyle name="Hipervínculo visitado" xfId="776" builtinId="9" hidden="1"/>
    <cellStyle name="Hipervínculo visitado" xfId="552" builtinId="9" hidden="1"/>
    <cellStyle name="Hipervínculo visitado" xfId="270" builtinId="9" hidden="1"/>
    <cellStyle name="Hipervínculo visitado" xfId="210" builtinId="9" hidden="1"/>
    <cellStyle name="Hipervínculo visitado" xfId="394" builtinId="9" hidden="1"/>
    <cellStyle name="Hipervínculo visitado" xfId="926" builtinId="9" hidden="1"/>
    <cellStyle name="Hipervínculo visitado" xfId="648" builtinId="9" hidden="1"/>
    <cellStyle name="Hipervínculo visitado" xfId="398" builtinId="9" hidden="1"/>
    <cellStyle name="Hipervínculo visitado" xfId="746" builtinId="9" hidden="1"/>
    <cellStyle name="Hipervínculo visitado" xfId="902" builtinId="9" hidden="1"/>
    <cellStyle name="Hipervínculo visitado" xfId="316" builtinId="9" hidden="1"/>
    <cellStyle name="Hipervínculo visitado" xfId="468" builtinId="9" hidden="1"/>
    <cellStyle name="Hipervínculo visitado" xfId="48" builtinId="9" hidden="1"/>
    <cellStyle name="Hipervínculo visitado" xfId="182" builtinId="9" hidden="1"/>
    <cellStyle name="Hipervínculo visitado" xfId="50" builtinId="9" hidden="1"/>
    <cellStyle name="Hipervínculo visitado" xfId="1012" builtinId="9" hidden="1"/>
    <cellStyle name="Hipervínculo visitado" xfId="1074" builtinId="9" hidden="1"/>
    <cellStyle name="Hipervínculo visitado" xfId="472" builtinId="9" hidden="1"/>
    <cellStyle name="Hipervínculo visitado" xfId="62" builtinId="9" hidden="1"/>
    <cellStyle name="Hipervínculo visitado" xfId="10" builtinId="9" hidden="1"/>
    <cellStyle name="Hipervínculo visitado" xfId="744" builtinId="9" hidden="1"/>
    <cellStyle name="Hipervínculo visitado" xfId="958" builtinId="9" hidden="1"/>
    <cellStyle name="Hipervínculo visitado" xfId="652" builtinId="9" hidden="1"/>
    <cellStyle name="Hipervínculo visitado" xfId="126" builtinId="9" hidden="1"/>
    <cellStyle name="Hipervínculo visitado" xfId="200" builtinId="9" hidden="1"/>
    <cellStyle name="Hipervínculo visitado" xfId="562" builtinId="9" hidden="1"/>
    <cellStyle name="Hipervínculo visitado" xfId="810" builtinId="9" hidden="1"/>
    <cellStyle name="Hipervínculo visitado" xfId="452" builtinId="9" hidden="1"/>
    <cellStyle name="Hipervínculo visitado" xfId="596" builtinId="9" hidden="1"/>
    <cellStyle name="Hipervínculo visitado" xfId="816" builtinId="9" hidden="1"/>
    <cellStyle name="Hipervínculo visitado" xfId="430" builtinId="9" hidden="1"/>
    <cellStyle name="Hipervínculo visitado" xfId="626" builtinId="9" hidden="1"/>
    <cellStyle name="Hipervínculo visitado" xfId="944" builtinId="9" hidden="1"/>
    <cellStyle name="Hipervínculo visitado" xfId="288" builtinId="9" hidden="1"/>
    <cellStyle name="Hipervínculo visitado" xfId="444" builtinId="9" hidden="1"/>
    <cellStyle name="Hipervínculo visitado" xfId="450" builtinId="9" hidden="1"/>
    <cellStyle name="Hipervínculo visitado" xfId="750" builtinId="9" hidden="1"/>
    <cellStyle name="Hipervínculo visitado" xfId="372" builtinId="9" hidden="1"/>
    <cellStyle name="Hipervínculo visitado" xfId="658" builtinId="9" hidden="1"/>
    <cellStyle name="Hipervínculo visitado" xfId="1006" builtinId="9" hidden="1"/>
    <cellStyle name="Hipervínculo visitado" xfId="680" builtinId="9" hidden="1"/>
    <cellStyle name="Hipervínculo visitado" xfId="976" builtinId="9" hidden="1"/>
    <cellStyle name="Hipervínculo visitado" xfId="458" builtinId="9" hidden="1"/>
    <cellStyle name="Hipervínculo visitado" xfId="804" builtinId="9" hidden="1"/>
    <cellStyle name="Hipervínculo visitado" xfId="604" builtinId="9" hidden="1"/>
    <cellStyle name="Hipervínculo visitado" xfId="682" builtinId="9" hidden="1"/>
    <cellStyle name="Hipervínculo visitado" xfId="106" builtinId="9" hidden="1"/>
    <cellStyle name="Hipervínculo visitado" xfId="368" builtinId="9" hidden="1"/>
    <cellStyle name="Hipervínculo visitado" xfId="628" builtinId="9" hidden="1"/>
    <cellStyle name="Hipervínculo visitado" xfId="806" builtinId="9" hidden="1"/>
    <cellStyle name="Hipervínculo visitado" xfId="170" builtinId="9" hidden="1"/>
    <cellStyle name="Hipervínculo visitado" xfId="212" builtinId="9" hidden="1"/>
    <cellStyle name="Hipervínculo visitado" xfId="312" builtinId="9" hidden="1"/>
    <cellStyle name="Hipervínculo visitado" xfId="702" builtinId="9" hidden="1"/>
    <cellStyle name="Hipervínculo visitado" xfId="194" builtinId="9" hidden="1"/>
    <cellStyle name="Hipervínculo visitado" xfId="914" builtinId="9" hidden="1"/>
    <cellStyle name="Hipervínculo visitado" xfId="4" builtinId="9" hidden="1"/>
    <cellStyle name="Hipervínculo visitado" xfId="342" builtinId="9" hidden="1"/>
    <cellStyle name="Hipervínculo visitado" xfId="482" builtinId="9" hidden="1"/>
    <cellStyle name="Hipervínculo visitado" xfId="624" builtinId="9" hidden="1"/>
    <cellStyle name="Hipervínculo visitado" xfId="100" builtinId="9" hidden="1"/>
    <cellStyle name="Hipervínculo visitado" xfId="228" builtinId="9" hidden="1"/>
    <cellStyle name="Hipervínculo visitado" xfId="504" builtinId="9" hidden="1"/>
    <cellStyle name="Hipervínculo visitado" xfId="176" builtinId="9" hidden="1"/>
    <cellStyle name="Hipervínculo visitado" xfId="696" builtinId="9" hidden="1"/>
    <cellStyle name="Hipervínculo visitado" xfId="738" builtinId="9" hidden="1"/>
    <cellStyle name="Hipervínculo visitado" xfId="620" builtinId="9" hidden="1"/>
    <cellStyle name="Hipervínculo visitado" xfId="908" builtinId="9" hidden="1"/>
    <cellStyle name="Hipervínculo visitado" xfId="1010" builtinId="9" hidden="1"/>
    <cellStyle name="Hipervínculo visitado" xfId="654" builtinId="9" hidden="1"/>
    <cellStyle name="Hipervínculo visitado" xfId="1070" builtinId="9" hidden="1"/>
    <cellStyle name="Hipervínculo visitado" xfId="662" builtinId="9" hidden="1"/>
    <cellStyle name="Hipervínculo visitado" xfId="576" builtinId="9" hidden="1"/>
    <cellStyle name="Hipervínculo visitado" xfId="1022" builtinId="9" hidden="1"/>
    <cellStyle name="Hipervínculo visitado" xfId="378" builtinId="9" hidden="1"/>
    <cellStyle name="Hipervínculo visitado" xfId="742" builtinId="9" hidden="1"/>
    <cellStyle name="Hipervínculo visitado" xfId="188" builtinId="9" hidden="1"/>
    <cellStyle name="Hipervínculo visitado" xfId="664" builtinId="9" hidden="1"/>
    <cellStyle name="Hipervínculo visitado" xfId="1032" builtinId="9" hidden="1"/>
    <cellStyle name="Hipervínculo visitado" xfId="1008" builtinId="9" hidden="1"/>
    <cellStyle name="Hipervínculo visitado" xfId="920" builtinId="9" hidden="1"/>
    <cellStyle name="Hipervínculo visitado" xfId="722" builtinId="9" hidden="1"/>
    <cellStyle name="Hipervínculo visitado" xfId="840" builtinId="9" hidden="1"/>
    <cellStyle name="Hipervínculo visitado" xfId="246" builtinId="9" hidden="1"/>
    <cellStyle name="Hipervínculo visitado" xfId="338" builtinId="9" hidden="1"/>
    <cellStyle name="Hipervínculo visitado" xfId="918" builtinId="9" hidden="1"/>
    <cellStyle name="Hipervínculo visitado" xfId="260" builtinId="9" hidden="1"/>
    <cellStyle name="Hipervínculo visitado" xfId="532" builtinId="9" hidden="1"/>
    <cellStyle name="Hipervínculo visitado" xfId="1048" builtinId="9" hidden="1"/>
    <cellStyle name="Hipervínculo visitado" xfId="424" builtinId="9" hidden="1"/>
    <cellStyle name="Hipervínculo visitado" xfId="614" builtinId="9" hidden="1"/>
    <cellStyle name="Hipervínculo visitado" xfId="222" builtinId="9" hidden="1"/>
    <cellStyle name="Hipervínculo visitado" xfId="186" builtinId="9" hidden="1"/>
    <cellStyle name="Hipervínculo visitado" xfId="794" builtinId="9" hidden="1"/>
    <cellStyle name="Hipervínculo visitado" xfId="716" builtinId="9" hidden="1"/>
    <cellStyle name="Hipervínculo visitado" xfId="740" builtinId="9" hidden="1"/>
    <cellStyle name="Hipervínculo visitado" xfId="98" builtinId="9" hidden="1"/>
    <cellStyle name="Hipervínculo visitado" xfId="208" builtinId="9" hidden="1"/>
    <cellStyle name="Hipervínculo visitado" xfId="684" builtinId="9" hidden="1"/>
    <cellStyle name="Hipervínculo visitado" xfId="382" builtinId="9" hidden="1"/>
    <cellStyle name="Hipervínculo visitado" xfId="258" builtinId="9" hidden="1"/>
    <cellStyle name="Hipervínculo visitado" xfId="192" builtinId="9" hidden="1"/>
    <cellStyle name="Hipervínculo visitado" xfId="144" builtinId="9" hidden="1"/>
    <cellStyle name="Hipervínculo visitado" xfId="784" builtinId="9" hidden="1"/>
    <cellStyle name="Hipervínculo visitado" xfId="158" builtinId="9" hidden="1"/>
    <cellStyle name="Hipervínculo visitado" xfId="590" builtinId="9" hidden="1"/>
    <cellStyle name="Hipervínculo visitado" xfId="12" builtinId="9" hidden="1"/>
    <cellStyle name="Hipervínculo visitado" xfId="304" builtinId="9" hidden="1"/>
    <cellStyle name="Hipervínculo visitado" xfId="118" builtinId="9" hidden="1"/>
    <cellStyle name="Hipervínculo visitado" xfId="714" builtinId="9" hidden="1"/>
    <cellStyle name="Hipervínculo visitado" xfId="256" builtinId="9" hidden="1"/>
    <cellStyle name="Hipervínculo visitado" xfId="830" builtinId="9" hidden="1"/>
    <cellStyle name="Hipervínculo visitado" xfId="780" builtinId="9" hidden="1"/>
    <cellStyle name="Hipervínculo visitado" xfId="422" builtinId="9" hidden="1"/>
    <cellStyle name="Hipervínculo visitado" xfId="404" builtinId="9" hidden="1"/>
    <cellStyle name="Hipervínculo visitado" xfId="758" builtinId="9" hidden="1"/>
    <cellStyle name="Hipervínculo visitado" xfId="406" builtinId="9" hidden="1"/>
    <cellStyle name="Hipervínculo visitado" xfId="454" builtinId="9" hidden="1"/>
    <cellStyle name="Hipervínculo visitado" xfId="464" builtinId="9" hidden="1"/>
    <cellStyle name="Hipervínculo visitado" xfId="1000" builtinId="9" hidden="1"/>
    <cellStyle name="Hipervínculo visitado" xfId="520" builtinId="9" hidden="1"/>
    <cellStyle name="Hipervínculo visitado" xfId="438" builtinId="9" hidden="1"/>
    <cellStyle name="Hipervínculo visitado" xfId="778" builtinId="9" hidden="1"/>
    <cellStyle name="Hipervínculo visitado" xfId="822" builtinId="9" hidden="1"/>
    <cellStyle name="Hipervínculo visitado" xfId="1064" builtinId="9" hidden="1"/>
    <cellStyle name="Hipervínculo visitado" xfId="1078" builtinId="9" hidden="1"/>
    <cellStyle name="Hipervínculo visitado" xfId="1080" builtinId="9" hidden="1"/>
    <cellStyle name="Hipervínculo visitado" xfId="1030" builtinId="9" hidden="1"/>
    <cellStyle name="Hipervínculo visitado" xfId="632" builtinId="9" hidden="1"/>
    <cellStyle name="Hipervínculo visitado" xfId="218" builtinId="9" hidden="1"/>
    <cellStyle name="Hipervínculo visitado" xfId="820" builtinId="9" hidden="1"/>
    <cellStyle name="Hipervínculo visitado" xfId="114" builtinId="9" hidden="1"/>
    <cellStyle name="Hipervínculo visitado" xfId="102" builtinId="9" hidden="1"/>
    <cellStyle name="Hipervínculo visitado" xfId="112" builtinId="9" hidden="1"/>
    <cellStyle name="Hipervínculo visitado" xfId="198" builtinId="9" hidden="1"/>
    <cellStyle name="Hipervínculo visitado" xfId="616" builtinId="9" hidden="1"/>
    <cellStyle name="Hipervínculo visitado" xfId="848" builtinId="9" hidden="1"/>
    <cellStyle name="Hipervínculo visitado" xfId="564" builtinId="9" hidden="1"/>
    <cellStyle name="Hipervínculo visitado" xfId="264" builtinId="9" hidden="1"/>
    <cellStyle name="Hipervínculo visitado" xfId="656" builtinId="9" hidden="1"/>
    <cellStyle name="Hipervínculo visitado" xfId="980" builtinId="9" hidden="1"/>
    <cellStyle name="Hipervínculo visitado" xfId="606" builtinId="9" hidden="1"/>
    <cellStyle name="Hipervínculo visitado" xfId="692" builtinId="9" hidden="1"/>
    <cellStyle name="Hipervínculo visitado" xfId="708" builtinId="9" hidden="1"/>
    <cellStyle name="Hipervínculo visitado" xfId="898" builtinId="9" hidden="1"/>
    <cellStyle name="Hipervínculo visitado" xfId="764" builtinId="9" hidden="1"/>
    <cellStyle name="Hipervínculo visitado" xfId="426" builtinId="9" hidden="1"/>
    <cellStyle name="Hipervínculo visitado" xfId="1018" builtinId="9" hidden="1"/>
    <cellStyle name="Hipervínculo visitado" xfId="400" builtinId="9" hidden="1"/>
    <cellStyle name="Hipervínculo visitado" xfId="302" builtinId="9" hidden="1"/>
    <cellStyle name="Hipervínculo visitado" xfId="236" builtinId="9" hidden="1"/>
    <cellStyle name="Hipervínculo visitado" xfId="120" builtinId="9" hidden="1"/>
    <cellStyle name="Hipervínculo visitado" xfId="64" builtinId="9" hidden="1"/>
    <cellStyle name="Hipervínculo visitado" xfId="358" builtinId="9" hidden="1"/>
    <cellStyle name="Hipervínculo visitado" xfId="428" builtinId="9" hidden="1"/>
    <cellStyle name="Hipervínculo visitado" xfId="802" builtinId="9" hidden="1"/>
    <cellStyle name="Hipervínculo visitado" xfId="978" builtinId="9" hidden="1"/>
    <cellStyle name="Hipervínculo visitado" xfId="484" builtinId="9" hidden="1"/>
    <cellStyle name="Hipervínculo visitado" xfId="1084" builtinId="9" hidden="1"/>
    <cellStyle name="Hipervínculo visitado" xfId="238" builtinId="9" hidden="1"/>
    <cellStyle name="Hipervínculo visitado" xfId="728" builtinId="9" hidden="1"/>
    <cellStyle name="Hipervínculo visitado" xfId="24" builtinId="9" hidden="1"/>
    <cellStyle name="Hipervínculo visitado" xfId="116" builtinId="9" hidden="1"/>
    <cellStyle name="Hipervínculo visitado" xfId="58" builtinId="9" hidden="1"/>
    <cellStyle name="Hipervínculo visitado" xfId="1034" builtinId="9" hidden="1"/>
    <cellStyle name="Hipervínculo visitado" xfId="124" builtinId="9" hidden="1"/>
    <cellStyle name="Hipervínculo visitado" xfId="70" builtinId="9" hidden="1"/>
    <cellStyle name="Hipervínculo visitado" xfId="762" builtinId="9" hidden="1"/>
    <cellStyle name="Hipervínculo visitado" xfId="890" builtinId="9" hidden="1"/>
    <cellStyle name="Hipervínculo visitado" xfId="274" builtinId="9" hidden="1"/>
    <cellStyle name="Hipervínculo visitado" xfId="970" builtinId="9" hidden="1"/>
    <cellStyle name="Hipervínculo visitado" xfId="300" builtinId="9" hidden="1"/>
    <cellStyle name="Hipervínculo visitado" xfId="578" builtinId="9" hidden="1"/>
    <cellStyle name="Hipervínculo visitado" xfId="862" builtinId="9" hidden="1"/>
    <cellStyle name="Hipervínculo visitado" xfId="754" builtinId="9" hidden="1"/>
    <cellStyle name="Hipervínculo visitado" xfId="570" builtinId="9" hidden="1"/>
    <cellStyle name="Hipervínculo visitado" xfId="2" builtinId="9" hidden="1"/>
    <cellStyle name="Hipervínculo visitado" xfId="26" builtinId="9" hidden="1"/>
    <cellStyle name="Hipervínculo visitado" xfId="18" builtinId="9" hidden="1"/>
    <cellStyle name="Hipervínculo visitado" xfId="334" builtinId="9" hidden="1"/>
    <cellStyle name="Hipervínculo visitado" xfId="150" builtinId="9" hidden="1"/>
    <cellStyle name="Hipervínculo visitado" xfId="66" builtinId="9" hidden="1"/>
    <cellStyle name="Hipervínculo visitado" xfId="846" builtinId="9" hidden="1"/>
    <cellStyle name="Hipervínculo visitado" xfId="142" builtinId="9" hidden="1"/>
    <cellStyle name="Hipervínculo visitado" xfId="870" builtinId="9" hidden="1"/>
    <cellStyle name="Hipervínculo visitado" xfId="558" builtinId="9" hidden="1"/>
    <cellStyle name="Hipervínculo visitado" xfId="162" builtinId="9" hidden="1"/>
    <cellStyle name="Hipervínculo visitado" xfId="78" builtinId="9" hidden="1"/>
    <cellStyle name="Hipervínculo visitado" xfId="814" builtinId="9" hidden="1"/>
    <cellStyle name="Hipervínculo visitado" xfId="340" builtinId="9" hidden="1"/>
    <cellStyle name="Hipervínculo visitado" xfId="1044" builtinId="9" hidden="1"/>
    <cellStyle name="Hipervínculo visitado" xfId="294" builtinId="9" hidden="1"/>
    <cellStyle name="Hipervínculo visitado" xfId="196" builtinId="9" hidden="1"/>
    <cellStyle name="Hipervínculo visitado" xfId="36" builtinId="9" hidden="1"/>
    <cellStyle name="Hipervínculo visitado" xfId="1052" builtinId="9" hidden="1"/>
    <cellStyle name="Hipervínculo visitado" xfId="350" builtinId="9" hidden="1"/>
    <cellStyle name="Hipervínculo visitado" xfId="602" builtinId="9" hidden="1"/>
    <cellStyle name="Hipervínculo visitado" xfId="8" builtinId="9" hidden="1"/>
    <cellStyle name="Hipervínculo visitado" xfId="148" builtinId="9" hidden="1"/>
    <cellStyle name="Hipervínculo visitado" xfId="310" builtinId="9" hidden="1"/>
    <cellStyle name="Hipervínculo visitado" xfId="392" builtinId="9" hidden="1"/>
    <cellStyle name="Hipervínculo visitado" xfId="880" builtinId="9" hidden="1"/>
    <cellStyle name="Hipervínculo visitado" xfId="22" builtinId="9" hidden="1"/>
    <cellStyle name="Hipervínculo visitado" xfId="94" builtinId="9" hidden="1"/>
    <cellStyle name="Hipervínculo visitado" xfId="104" builtinId="9" hidden="1"/>
    <cellStyle name="Hipervínculo visitado" xfId="82" builtinId="9" hidden="1"/>
    <cellStyle name="Hipervínculo visitado" xfId="362" builtinId="9" hidden="1"/>
    <cellStyle name="Hipervínculo visitado" xfId="374" builtinId="9" hidden="1"/>
    <cellStyle name="Hipervínculo visitado" xfId="60" builtinId="9" hidden="1"/>
    <cellStyle name="Hipervínculo visitado" xfId="346" builtinId="9" hidden="1"/>
    <cellStyle name="Hipervínculo visitado" xfId="872" builtinId="9" hidden="1"/>
    <cellStyle name="Hipervínculo visitado" xfId="790" builtinId="9" hidden="1"/>
    <cellStyle name="Hipervínculo visitado" xfId="670" builtinId="9" hidden="1"/>
    <cellStyle name="Hipervínculo visitado" xfId="938" builtinId="9" hidden="1"/>
    <cellStyle name="Hipervínculo visitado" xfId="672" builtinId="9" hidden="1"/>
    <cellStyle name="Hipervínculo visitado" xfId="772" builtinId="9" hidden="1"/>
    <cellStyle name="Hipervínculo visitado" xfId="90" builtinId="9" hidden="1"/>
    <cellStyle name="Hipervínculo visitado" xfId="138" builtinId="9" hidden="1"/>
    <cellStyle name="Hipervínculo visitado" xfId="20" builtinId="9" hidden="1"/>
    <cellStyle name="Hipervínculo visitado" xfId="80" builtinId="9" hidden="1"/>
    <cellStyle name="Hipervínculo visitado" xfId="154" builtinId="9" hidden="1"/>
    <cellStyle name="Hipervínculo visitado" xfId="996" builtinId="9" hidden="1"/>
    <cellStyle name="Hipervínculo visitado" xfId="128" builtinId="9" hidden="1"/>
    <cellStyle name="Hipervínculo visitado" xfId="92" builtinId="9" hidden="1"/>
    <cellStyle name="Hipervínculo visitado" xfId="38" builtinId="9" hidden="1"/>
    <cellStyle name="Hipervínculo visitado" xfId="42" builtinId="9" hidden="1"/>
    <cellStyle name="Hipervínculo visitado" xfId="84" builtinId="9" hidden="1"/>
    <cellStyle name="Hipervínculo visitado" xfId="384" builtinId="9" hidden="1"/>
    <cellStyle name="Hipervínculo visitado" xfId="234" builtinId="9" hidden="1"/>
    <cellStyle name="Hipervínculo visitado" xfId="456" builtinId="9" hidden="1"/>
    <cellStyle name="Hipervínculo visitado" xfId="370" builtinId="9" hidden="1"/>
    <cellStyle name="Hipervínculo visitado" xfId="108" builtinId="9" hidden="1"/>
    <cellStyle name="Hipervínculo visitado" xfId="668" builtinId="9" hidden="1"/>
    <cellStyle name="Hipervínculo visitado" xfId="514" builtinId="9" hidden="1"/>
    <cellStyle name="Hipervínculo visitado" xfId="1024" builtinId="9" hidden="1"/>
    <cellStyle name="Hipervínculo visitado" xfId="500" builtinId="9" hidden="1"/>
    <cellStyle name="Hipervínculo visitado" xfId="718" builtinId="9" hidden="1"/>
    <cellStyle name="Hipervínculo visitado" xfId="852" builtinId="9" hidden="1"/>
    <cellStyle name="Hipervínculo visitado" xfId="172" builtinId="9" hidden="1"/>
    <cellStyle name="Hipervínculo visitado" xfId="512" builtinId="9" hidden="1"/>
    <cellStyle name="Hipervínculo visitado" xfId="322" builtinId="9" hidden="1"/>
    <cellStyle name="Normal" xfId="0" builtinId="0"/>
    <cellStyle name="Normal 2" xfId="132" xr:uid="{00000000-0005-0000-0000-000041040000}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2.jpe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2.jpe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2.jpe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2.jpe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2.jpe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2.jpe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FC-4_ACTIVO'!E18"/><Relationship Id="rId13" Type="http://schemas.openxmlformats.org/officeDocument/2006/relationships/hyperlink" Target="#'FC-9_TRANS_SUBV'!C21"/><Relationship Id="rId18" Type="http://schemas.openxmlformats.org/officeDocument/2006/relationships/hyperlink" Target="#'FC-14_OPER_INTERNAS'!F17"/><Relationship Id="rId3" Type="http://schemas.openxmlformats.org/officeDocument/2006/relationships/hyperlink" Target="#_GENERAL!D13"/><Relationship Id="rId21" Type="http://schemas.openxmlformats.org/officeDocument/2006/relationships/hyperlink" Target="#'FC-16_1_ INF_ADIC_ESTAB_PRESUP'!E15"/><Relationship Id="rId7" Type="http://schemas.openxmlformats.org/officeDocument/2006/relationships/hyperlink" Target="#'FC-3_CPyG'!E17"/><Relationship Id="rId12" Type="http://schemas.openxmlformats.org/officeDocument/2006/relationships/hyperlink" Target="#'FC-8_INV_FINANCIERAS'!C18"/><Relationship Id="rId17" Type="http://schemas.openxmlformats.org/officeDocument/2006/relationships/hyperlink" Target="#'FC-13_PERSONAL'!E39"/><Relationship Id="rId2" Type="http://schemas.openxmlformats.org/officeDocument/2006/relationships/hyperlink" Target="#'FC-3_1_INF_ADIC_CPyG'!E17"/><Relationship Id="rId16" Type="http://schemas.openxmlformats.org/officeDocument/2006/relationships/hyperlink" Target="#'FC-12_PERFIL_VTO_DEUDA'!E15"/><Relationship Id="rId20" Type="http://schemas.openxmlformats.org/officeDocument/2006/relationships/hyperlink" Target="#'_FC-16_ESTAB_PRESUP'!E27"/><Relationship Id="rId1" Type="http://schemas.openxmlformats.org/officeDocument/2006/relationships/image" Target="../media/image1.png"/><Relationship Id="rId6" Type="http://schemas.openxmlformats.org/officeDocument/2006/relationships/hyperlink" Target="#'FC-2_ACCIONISTAS'!C17"/><Relationship Id="rId11" Type="http://schemas.openxmlformats.org/officeDocument/2006/relationships/hyperlink" Target="#'FC-7_INF'!E15"/><Relationship Id="rId5" Type="http://schemas.openxmlformats.org/officeDocument/2006/relationships/hyperlink" Target="#'FC-1_ORGANOS_GOBIERNO'!H16"/><Relationship Id="rId15" Type="http://schemas.openxmlformats.org/officeDocument/2006/relationships/hyperlink" Target="#'FC-11_DEUDA_VIVA'!F17"/><Relationship Id="rId23" Type="http://schemas.openxmlformats.org/officeDocument/2006/relationships/hyperlink" Target="#'FC-90'!E16"/><Relationship Id="rId10" Type="http://schemas.openxmlformats.org/officeDocument/2006/relationships/hyperlink" Target="#'FC-6_Inversiones'!C16"/><Relationship Id="rId19" Type="http://schemas.openxmlformats.org/officeDocument/2006/relationships/hyperlink" Target="#'FC-15_ENCARGOS'!C17"/><Relationship Id="rId4" Type="http://schemas.openxmlformats.org/officeDocument/2006/relationships/hyperlink" Target="#_CHECK_LIST!E15"/><Relationship Id="rId9" Type="http://schemas.openxmlformats.org/officeDocument/2006/relationships/hyperlink" Target="#'FC-4_PASIVO'!E19"/><Relationship Id="rId14" Type="http://schemas.openxmlformats.org/officeDocument/2006/relationships/hyperlink" Target="#'FC-10_DEUDAS'!C18"/><Relationship Id="rId22" Type="http://schemas.openxmlformats.org/officeDocument/2006/relationships/hyperlink" Target="#'FC-17_FINANCIACI&#211;N'!E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  <xdr:twoCellAnchor>
    <xdr:from>
      <xdr:col>2</xdr:col>
      <xdr:colOff>6978</xdr:colOff>
      <xdr:row>24</xdr:row>
      <xdr:rowOff>20934</xdr:rowOff>
    </xdr:from>
    <xdr:to>
      <xdr:col>2</xdr:col>
      <xdr:colOff>655934</xdr:colOff>
      <xdr:row>24</xdr:row>
      <xdr:rowOff>293077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CF80A3A-2C13-5541-B3B2-6802DE992AB4}"/>
            </a:ext>
          </a:extLst>
        </xdr:cNvPr>
        <xdr:cNvSpPr/>
      </xdr:nvSpPr>
      <xdr:spPr>
        <a:xfrm>
          <a:off x="591178" y="8047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2</xdr:col>
      <xdr:colOff>0</xdr:colOff>
      <xdr:row>18</xdr:row>
      <xdr:rowOff>111648</xdr:rowOff>
    </xdr:from>
    <xdr:to>
      <xdr:col>2</xdr:col>
      <xdr:colOff>648956</xdr:colOff>
      <xdr:row>19</xdr:row>
      <xdr:rowOff>272143</xdr:rowOff>
    </xdr:to>
    <xdr:sp macro="" textlink="">
      <xdr:nvSpPr>
        <xdr:cNvPr id="4" name="Rectángulo redonde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CA0A55-1BBB-3544-9B4E-CE7EE2A27EED}"/>
            </a:ext>
          </a:extLst>
        </xdr:cNvPr>
        <xdr:cNvSpPr/>
      </xdr:nvSpPr>
      <xdr:spPr>
        <a:xfrm>
          <a:off x="584200" y="6436248"/>
          <a:ext cx="648956" cy="274795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2</xdr:col>
      <xdr:colOff>0</xdr:colOff>
      <xdr:row>20</xdr:row>
      <xdr:rowOff>13956</xdr:rowOff>
    </xdr:from>
    <xdr:to>
      <xdr:col>2</xdr:col>
      <xdr:colOff>648956</xdr:colOff>
      <xdr:row>20</xdr:row>
      <xdr:rowOff>286099</xdr:rowOff>
    </xdr:to>
    <xdr:sp macro="" textlink="">
      <xdr:nvSpPr>
        <xdr:cNvPr id="5" name="Rectángulo redondead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DCBA1E9-FC41-424A-A5F5-14E91DA1BB00}"/>
            </a:ext>
          </a:extLst>
        </xdr:cNvPr>
        <xdr:cNvSpPr/>
      </xdr:nvSpPr>
      <xdr:spPr>
        <a:xfrm>
          <a:off x="584200" y="6770356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2</xdr:col>
      <xdr:colOff>0</xdr:colOff>
      <xdr:row>21</xdr:row>
      <xdr:rowOff>20934</xdr:rowOff>
    </xdr:from>
    <xdr:to>
      <xdr:col>2</xdr:col>
      <xdr:colOff>648956</xdr:colOff>
      <xdr:row>21</xdr:row>
      <xdr:rowOff>293077</xdr:rowOff>
    </xdr:to>
    <xdr:sp macro="" textlink="">
      <xdr:nvSpPr>
        <xdr:cNvPr id="7" name="Rectángulo redondead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600D34-99B0-744B-819D-E8FB17F25BA8}"/>
            </a:ext>
          </a:extLst>
        </xdr:cNvPr>
        <xdr:cNvSpPr/>
      </xdr:nvSpPr>
      <xdr:spPr>
        <a:xfrm>
          <a:off x="584200" y="7094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2</xdr:col>
      <xdr:colOff>6978</xdr:colOff>
      <xdr:row>22</xdr:row>
      <xdr:rowOff>20934</xdr:rowOff>
    </xdr:from>
    <xdr:to>
      <xdr:col>2</xdr:col>
      <xdr:colOff>655934</xdr:colOff>
      <xdr:row>22</xdr:row>
      <xdr:rowOff>293077</xdr:rowOff>
    </xdr:to>
    <xdr:sp macro="" textlink="">
      <xdr:nvSpPr>
        <xdr:cNvPr id="8" name="Rectángulo redondead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742CBF-60F9-DF4D-9CDE-04BCBFC7A28C}"/>
            </a:ext>
          </a:extLst>
        </xdr:cNvPr>
        <xdr:cNvSpPr/>
      </xdr:nvSpPr>
      <xdr:spPr>
        <a:xfrm>
          <a:off x="591178" y="7412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2</xdr:col>
      <xdr:colOff>6978</xdr:colOff>
      <xdr:row>23</xdr:row>
      <xdr:rowOff>20934</xdr:rowOff>
    </xdr:from>
    <xdr:to>
      <xdr:col>2</xdr:col>
      <xdr:colOff>655934</xdr:colOff>
      <xdr:row>23</xdr:row>
      <xdr:rowOff>293077</xdr:rowOff>
    </xdr:to>
    <xdr:sp macro="" textlink="">
      <xdr:nvSpPr>
        <xdr:cNvPr id="9" name="Rectángulo redondead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DDC6230-FD23-EA43-9FE8-19669B1A8A11}"/>
            </a:ext>
          </a:extLst>
        </xdr:cNvPr>
        <xdr:cNvSpPr/>
      </xdr:nvSpPr>
      <xdr:spPr>
        <a:xfrm>
          <a:off x="591178" y="7729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2</xdr:col>
      <xdr:colOff>6978</xdr:colOff>
      <xdr:row>25</xdr:row>
      <xdr:rowOff>20934</xdr:rowOff>
    </xdr:from>
    <xdr:to>
      <xdr:col>2</xdr:col>
      <xdr:colOff>655934</xdr:colOff>
      <xdr:row>25</xdr:row>
      <xdr:rowOff>293077</xdr:rowOff>
    </xdr:to>
    <xdr:sp macro="" textlink="">
      <xdr:nvSpPr>
        <xdr:cNvPr id="10" name="Rectángulo redondead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42ACA3E-17AF-F148-9ADD-13314E2B49CF}"/>
            </a:ext>
          </a:extLst>
        </xdr:cNvPr>
        <xdr:cNvSpPr/>
      </xdr:nvSpPr>
      <xdr:spPr>
        <a:xfrm>
          <a:off x="591178" y="8364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2</xdr:col>
      <xdr:colOff>6978</xdr:colOff>
      <xdr:row>26</xdr:row>
      <xdr:rowOff>20934</xdr:rowOff>
    </xdr:from>
    <xdr:to>
      <xdr:col>2</xdr:col>
      <xdr:colOff>655934</xdr:colOff>
      <xdr:row>26</xdr:row>
      <xdr:rowOff>293077</xdr:rowOff>
    </xdr:to>
    <xdr:sp macro="" textlink="">
      <xdr:nvSpPr>
        <xdr:cNvPr id="11" name="Rectángulo redondead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0A1AD28-7711-E942-9141-9A5963C255C6}"/>
            </a:ext>
          </a:extLst>
        </xdr:cNvPr>
        <xdr:cNvSpPr/>
      </xdr:nvSpPr>
      <xdr:spPr>
        <a:xfrm>
          <a:off x="591178" y="8682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2</xdr:col>
      <xdr:colOff>6978</xdr:colOff>
      <xdr:row>27</xdr:row>
      <xdr:rowOff>20934</xdr:rowOff>
    </xdr:from>
    <xdr:to>
      <xdr:col>2</xdr:col>
      <xdr:colOff>655934</xdr:colOff>
      <xdr:row>27</xdr:row>
      <xdr:rowOff>293077</xdr:rowOff>
    </xdr:to>
    <xdr:sp macro="" textlink="">
      <xdr:nvSpPr>
        <xdr:cNvPr id="14" name="Rectángulo redondeado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D26FCE7-EF0E-C640-AB13-F407D186E4B1}"/>
            </a:ext>
          </a:extLst>
        </xdr:cNvPr>
        <xdr:cNvSpPr/>
      </xdr:nvSpPr>
      <xdr:spPr>
        <a:xfrm>
          <a:off x="591178" y="9634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2</xdr:col>
      <xdr:colOff>6978</xdr:colOff>
      <xdr:row>28</xdr:row>
      <xdr:rowOff>20934</xdr:rowOff>
    </xdr:from>
    <xdr:to>
      <xdr:col>2</xdr:col>
      <xdr:colOff>655934</xdr:colOff>
      <xdr:row>28</xdr:row>
      <xdr:rowOff>293077</xdr:rowOff>
    </xdr:to>
    <xdr:sp macro="" textlink="">
      <xdr:nvSpPr>
        <xdr:cNvPr id="15" name="Rectángulo redondeado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21834CC-8ED7-2F45-B437-A796B6C00520}"/>
            </a:ext>
          </a:extLst>
        </xdr:cNvPr>
        <xdr:cNvSpPr/>
      </xdr:nvSpPr>
      <xdr:spPr>
        <a:xfrm>
          <a:off x="591178" y="9952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2</xdr:col>
      <xdr:colOff>6978</xdr:colOff>
      <xdr:row>29</xdr:row>
      <xdr:rowOff>20934</xdr:rowOff>
    </xdr:from>
    <xdr:to>
      <xdr:col>2</xdr:col>
      <xdr:colOff>655934</xdr:colOff>
      <xdr:row>29</xdr:row>
      <xdr:rowOff>293077</xdr:rowOff>
    </xdr:to>
    <xdr:sp macro="" textlink="">
      <xdr:nvSpPr>
        <xdr:cNvPr id="16" name="Rectángulo redondeado 1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218C81D-79DE-0C47-82C5-20BB80B83520}"/>
            </a:ext>
          </a:extLst>
        </xdr:cNvPr>
        <xdr:cNvSpPr/>
      </xdr:nvSpPr>
      <xdr:spPr>
        <a:xfrm>
          <a:off x="591178" y="10269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2</xdr:col>
      <xdr:colOff>6978</xdr:colOff>
      <xdr:row>30</xdr:row>
      <xdr:rowOff>20934</xdr:rowOff>
    </xdr:from>
    <xdr:to>
      <xdr:col>2</xdr:col>
      <xdr:colOff>655934</xdr:colOff>
      <xdr:row>30</xdr:row>
      <xdr:rowOff>293077</xdr:rowOff>
    </xdr:to>
    <xdr:sp macro="" textlink="">
      <xdr:nvSpPr>
        <xdr:cNvPr id="17" name="Rectángulo redonde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F278E0B-5BAC-8446-BD5B-820F772B956B}"/>
            </a:ext>
          </a:extLst>
        </xdr:cNvPr>
        <xdr:cNvSpPr/>
      </xdr:nvSpPr>
      <xdr:spPr>
        <a:xfrm>
          <a:off x="591178" y="10587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2</xdr:col>
      <xdr:colOff>6978</xdr:colOff>
      <xdr:row>31</xdr:row>
      <xdr:rowOff>20934</xdr:rowOff>
    </xdr:from>
    <xdr:to>
      <xdr:col>2</xdr:col>
      <xdr:colOff>655934</xdr:colOff>
      <xdr:row>31</xdr:row>
      <xdr:rowOff>293077</xdr:rowOff>
    </xdr:to>
    <xdr:sp macro="" textlink="">
      <xdr:nvSpPr>
        <xdr:cNvPr id="18" name="Rectángulo redondeado 1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8C78BA2-EE72-7C40-8D6F-3FC619AA7C14}"/>
            </a:ext>
          </a:extLst>
        </xdr:cNvPr>
        <xdr:cNvSpPr/>
      </xdr:nvSpPr>
      <xdr:spPr>
        <a:xfrm>
          <a:off x="591178" y="10904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2</xdr:col>
      <xdr:colOff>6978</xdr:colOff>
      <xdr:row>32</xdr:row>
      <xdr:rowOff>20934</xdr:rowOff>
    </xdr:from>
    <xdr:to>
      <xdr:col>2</xdr:col>
      <xdr:colOff>655934</xdr:colOff>
      <xdr:row>32</xdr:row>
      <xdr:rowOff>293077</xdr:rowOff>
    </xdr:to>
    <xdr:sp macro="" textlink="">
      <xdr:nvSpPr>
        <xdr:cNvPr id="19" name="Rectángulo redondeado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8C94E6A-82D9-B74E-A76E-72BED88F5984}"/>
            </a:ext>
          </a:extLst>
        </xdr:cNvPr>
        <xdr:cNvSpPr/>
      </xdr:nvSpPr>
      <xdr:spPr>
        <a:xfrm>
          <a:off x="591178" y="11222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2</xdr:col>
      <xdr:colOff>6978</xdr:colOff>
      <xdr:row>33</xdr:row>
      <xdr:rowOff>20934</xdr:rowOff>
    </xdr:from>
    <xdr:to>
      <xdr:col>2</xdr:col>
      <xdr:colOff>655934</xdr:colOff>
      <xdr:row>33</xdr:row>
      <xdr:rowOff>293077</xdr:rowOff>
    </xdr:to>
    <xdr:sp macro="" textlink="">
      <xdr:nvSpPr>
        <xdr:cNvPr id="20" name="Rectángulo redondeado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7DB3612-90F4-B34C-BF0B-C2652697CEBA}"/>
            </a:ext>
          </a:extLst>
        </xdr:cNvPr>
        <xdr:cNvSpPr/>
      </xdr:nvSpPr>
      <xdr:spPr>
        <a:xfrm>
          <a:off x="591178" y="11539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2</xdr:col>
      <xdr:colOff>6978</xdr:colOff>
      <xdr:row>34</xdr:row>
      <xdr:rowOff>20934</xdr:rowOff>
    </xdr:from>
    <xdr:to>
      <xdr:col>2</xdr:col>
      <xdr:colOff>655934</xdr:colOff>
      <xdr:row>34</xdr:row>
      <xdr:rowOff>293077</xdr:rowOff>
    </xdr:to>
    <xdr:sp macro="" textlink="">
      <xdr:nvSpPr>
        <xdr:cNvPr id="21" name="Rectángulo redondeado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0261BB4-3D7B-5042-808F-EDEB8804B1AC}"/>
            </a:ext>
          </a:extLst>
        </xdr:cNvPr>
        <xdr:cNvSpPr/>
      </xdr:nvSpPr>
      <xdr:spPr>
        <a:xfrm>
          <a:off x="591178" y="11857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2</xdr:col>
      <xdr:colOff>6978</xdr:colOff>
      <xdr:row>35</xdr:row>
      <xdr:rowOff>20934</xdr:rowOff>
    </xdr:from>
    <xdr:to>
      <xdr:col>2</xdr:col>
      <xdr:colOff>655934</xdr:colOff>
      <xdr:row>35</xdr:row>
      <xdr:rowOff>293077</xdr:rowOff>
    </xdr:to>
    <xdr:sp macro="" textlink="">
      <xdr:nvSpPr>
        <xdr:cNvPr id="22" name="Rectángulo redondead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66762CF-A569-5842-B969-24A9C71128FB}"/>
            </a:ext>
          </a:extLst>
        </xdr:cNvPr>
        <xdr:cNvSpPr/>
      </xdr:nvSpPr>
      <xdr:spPr>
        <a:xfrm>
          <a:off x="591178" y="12174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2</xdr:col>
      <xdr:colOff>6978</xdr:colOff>
      <xdr:row>36</xdr:row>
      <xdr:rowOff>20934</xdr:rowOff>
    </xdr:from>
    <xdr:to>
      <xdr:col>2</xdr:col>
      <xdr:colOff>655934</xdr:colOff>
      <xdr:row>36</xdr:row>
      <xdr:rowOff>293077</xdr:rowOff>
    </xdr:to>
    <xdr:sp macro="" textlink="">
      <xdr:nvSpPr>
        <xdr:cNvPr id="23" name="Rectángulo redondeado 2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A31096F-BCA2-DB40-91CF-FE2C26BF4418}"/>
            </a:ext>
          </a:extLst>
        </xdr:cNvPr>
        <xdr:cNvSpPr/>
      </xdr:nvSpPr>
      <xdr:spPr>
        <a:xfrm>
          <a:off x="591178" y="12492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2</xdr:col>
      <xdr:colOff>6978</xdr:colOff>
      <xdr:row>37</xdr:row>
      <xdr:rowOff>20934</xdr:rowOff>
    </xdr:from>
    <xdr:to>
      <xdr:col>2</xdr:col>
      <xdr:colOff>655934</xdr:colOff>
      <xdr:row>37</xdr:row>
      <xdr:rowOff>293077</xdr:rowOff>
    </xdr:to>
    <xdr:sp macro="" textlink="">
      <xdr:nvSpPr>
        <xdr:cNvPr id="24" name="Rectángulo redondeado 2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6DD6CD3E-50BB-AE4B-8C8B-F8C9762D7808}"/>
            </a:ext>
          </a:extLst>
        </xdr:cNvPr>
        <xdr:cNvSpPr/>
      </xdr:nvSpPr>
      <xdr:spPr>
        <a:xfrm>
          <a:off x="591178" y="12809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2</xdr:col>
      <xdr:colOff>6978</xdr:colOff>
      <xdr:row>38</xdr:row>
      <xdr:rowOff>20934</xdr:rowOff>
    </xdr:from>
    <xdr:to>
      <xdr:col>2</xdr:col>
      <xdr:colOff>655934</xdr:colOff>
      <xdr:row>38</xdr:row>
      <xdr:rowOff>293077</xdr:rowOff>
    </xdr:to>
    <xdr:sp macro="" textlink="">
      <xdr:nvSpPr>
        <xdr:cNvPr id="25" name="Rectángulo redondeado 2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23EC92A5-23BD-0D4C-A661-5EDA7A5287E9}"/>
            </a:ext>
          </a:extLst>
        </xdr:cNvPr>
        <xdr:cNvSpPr/>
      </xdr:nvSpPr>
      <xdr:spPr>
        <a:xfrm>
          <a:off x="591178" y="13127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2</xdr:col>
      <xdr:colOff>6978</xdr:colOff>
      <xdr:row>39</xdr:row>
      <xdr:rowOff>20934</xdr:rowOff>
    </xdr:from>
    <xdr:to>
      <xdr:col>2</xdr:col>
      <xdr:colOff>655934</xdr:colOff>
      <xdr:row>39</xdr:row>
      <xdr:rowOff>293077</xdr:rowOff>
    </xdr:to>
    <xdr:sp macro="" textlink="">
      <xdr:nvSpPr>
        <xdr:cNvPr id="26" name="Rectángulo redondeado 2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CE458748-3013-3C49-AF55-81DB48B442DE}"/>
            </a:ext>
          </a:extLst>
        </xdr:cNvPr>
        <xdr:cNvSpPr/>
      </xdr:nvSpPr>
      <xdr:spPr>
        <a:xfrm>
          <a:off x="591178" y="13444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2</xdr:col>
      <xdr:colOff>6978</xdr:colOff>
      <xdr:row>41</xdr:row>
      <xdr:rowOff>20934</xdr:rowOff>
    </xdr:from>
    <xdr:to>
      <xdr:col>2</xdr:col>
      <xdr:colOff>655934</xdr:colOff>
      <xdr:row>41</xdr:row>
      <xdr:rowOff>293077</xdr:rowOff>
    </xdr:to>
    <xdr:sp macro="" textlink="">
      <xdr:nvSpPr>
        <xdr:cNvPr id="27" name="Rectángulo redondeado 2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CC4F102-6195-D541-9113-AC17149A8A5D}"/>
            </a:ext>
          </a:extLst>
        </xdr:cNvPr>
        <xdr:cNvSpPr/>
      </xdr:nvSpPr>
      <xdr:spPr>
        <a:xfrm>
          <a:off x="591178" y="14397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53772</xdr:colOff>
      <xdr:row>0</xdr:row>
      <xdr:rowOff>131314</xdr:rowOff>
    </xdr:from>
    <xdr:to>
      <xdr:col>3</xdr:col>
      <xdr:colOff>1157793</xdr:colOff>
      <xdr:row>3</xdr:row>
      <xdr:rowOff>139495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283" y="131314"/>
          <a:ext cx="1113546" cy="899883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1E9BE-38E3-D840-950F-FAC7169EC353}"/>
            </a:ext>
          </a:extLst>
        </xdr:cNvPr>
        <xdr:cNvSpPr/>
      </xdr:nvSpPr>
      <xdr:spPr>
        <a:xfrm>
          <a:off x="133235" y="5293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688913-A4DB-4348-82AD-B5817FFA5A00}"/>
            </a:ext>
          </a:extLst>
        </xdr:cNvPr>
        <xdr:cNvSpPr/>
      </xdr:nvSpPr>
      <xdr:spPr>
        <a:xfrm>
          <a:off x="141112" y="3894295"/>
          <a:ext cx="648956" cy="2417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C13393-E6BA-6645-8EEC-CDA22E2F5CCF}"/>
            </a:ext>
          </a:extLst>
        </xdr:cNvPr>
        <xdr:cNvSpPr/>
      </xdr:nvSpPr>
      <xdr:spPr>
        <a:xfrm>
          <a:off x="141111" y="4183864"/>
          <a:ext cx="648956" cy="1959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522E5C-0BB2-E546-B9F7-7B12994D1EA6}"/>
            </a:ext>
          </a:extLst>
        </xdr:cNvPr>
        <xdr:cNvSpPr/>
      </xdr:nvSpPr>
      <xdr:spPr>
        <a:xfrm>
          <a:off x="133685" y="4409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02A6E0-BF86-BE43-B5CF-18E7B2CB487B}"/>
            </a:ext>
          </a:extLst>
        </xdr:cNvPr>
        <xdr:cNvSpPr/>
      </xdr:nvSpPr>
      <xdr:spPr>
        <a:xfrm>
          <a:off x="140662" y="4701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68CAE1-8809-DA49-8065-C31DD05365CF}"/>
            </a:ext>
          </a:extLst>
        </xdr:cNvPr>
        <xdr:cNvSpPr/>
      </xdr:nvSpPr>
      <xdr:spPr>
        <a:xfrm>
          <a:off x="133235" y="4994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5ECF254-8F8B-6449-B13E-D1F4D3A48688}"/>
            </a:ext>
          </a:extLst>
        </xdr:cNvPr>
        <xdr:cNvSpPr/>
      </xdr:nvSpPr>
      <xdr:spPr>
        <a:xfrm>
          <a:off x="125808" y="5585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21</xdr:row>
      <xdr:rowOff>28361</xdr:rowOff>
    </xdr:from>
    <xdr:to>
      <xdr:col>0</xdr:col>
      <xdr:colOff>774764</xdr:colOff>
      <xdr:row>21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5796F3A-D42A-4C4D-BB53-E1831D827261}"/>
            </a:ext>
          </a:extLst>
        </xdr:cNvPr>
        <xdr:cNvSpPr/>
      </xdr:nvSpPr>
      <xdr:spPr>
        <a:xfrm>
          <a:off x="125808" y="5870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22</xdr:row>
      <xdr:rowOff>20934</xdr:rowOff>
    </xdr:from>
    <xdr:to>
      <xdr:col>0</xdr:col>
      <xdr:colOff>782191</xdr:colOff>
      <xdr:row>22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83F5DDE-E5D5-7342-B4C4-36449E6FF367}"/>
            </a:ext>
          </a:extLst>
        </xdr:cNvPr>
        <xdr:cNvSpPr/>
      </xdr:nvSpPr>
      <xdr:spPr>
        <a:xfrm>
          <a:off x="133235" y="6155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23</xdr:row>
      <xdr:rowOff>35787</xdr:rowOff>
    </xdr:from>
    <xdr:to>
      <xdr:col>0</xdr:col>
      <xdr:colOff>782192</xdr:colOff>
      <xdr:row>23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6CFC05D-6E96-634F-9563-4B4E841AC982}"/>
            </a:ext>
          </a:extLst>
        </xdr:cNvPr>
        <xdr:cNvSpPr/>
      </xdr:nvSpPr>
      <xdr:spPr>
        <a:xfrm>
          <a:off x="133236" y="6461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24</xdr:row>
      <xdr:rowOff>43215</xdr:rowOff>
    </xdr:from>
    <xdr:to>
      <xdr:col>0</xdr:col>
      <xdr:colOff>782191</xdr:colOff>
      <xdr:row>24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9418015-21DE-B64B-9D0B-EFE66FD79230}"/>
            </a:ext>
          </a:extLst>
        </xdr:cNvPr>
        <xdr:cNvSpPr/>
      </xdr:nvSpPr>
      <xdr:spPr>
        <a:xfrm>
          <a:off x="133235" y="6761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25</xdr:row>
      <xdr:rowOff>35788</xdr:rowOff>
    </xdr:from>
    <xdr:to>
      <xdr:col>0</xdr:col>
      <xdr:colOff>782191</xdr:colOff>
      <xdr:row>25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6F4A402-81AD-4C41-B2D7-73D7120A2F98}"/>
            </a:ext>
          </a:extLst>
        </xdr:cNvPr>
        <xdr:cNvSpPr/>
      </xdr:nvSpPr>
      <xdr:spPr>
        <a:xfrm>
          <a:off x="133235" y="7046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26</xdr:row>
      <xdr:rowOff>20934</xdr:rowOff>
    </xdr:from>
    <xdr:to>
      <xdr:col>0</xdr:col>
      <xdr:colOff>774765</xdr:colOff>
      <xdr:row>26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667087F-0B57-3745-A330-A8F76924BD9E}"/>
            </a:ext>
          </a:extLst>
        </xdr:cNvPr>
        <xdr:cNvSpPr/>
      </xdr:nvSpPr>
      <xdr:spPr>
        <a:xfrm>
          <a:off x="125809" y="7323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27</xdr:row>
      <xdr:rowOff>28361</xdr:rowOff>
    </xdr:from>
    <xdr:to>
      <xdr:col>0</xdr:col>
      <xdr:colOff>782191</xdr:colOff>
      <xdr:row>27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52FDE91-2C8D-FD4D-B436-FF8E2D9979EC}"/>
            </a:ext>
          </a:extLst>
        </xdr:cNvPr>
        <xdr:cNvSpPr/>
      </xdr:nvSpPr>
      <xdr:spPr>
        <a:xfrm>
          <a:off x="133235" y="7622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28</xdr:row>
      <xdr:rowOff>35788</xdr:rowOff>
    </xdr:from>
    <xdr:to>
      <xdr:col>0</xdr:col>
      <xdr:colOff>782191</xdr:colOff>
      <xdr:row>28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6D0DD58-103C-5946-8E12-B12CF356EA16}"/>
            </a:ext>
          </a:extLst>
        </xdr:cNvPr>
        <xdr:cNvSpPr/>
      </xdr:nvSpPr>
      <xdr:spPr>
        <a:xfrm>
          <a:off x="133235" y="7922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29</xdr:row>
      <xdr:rowOff>35788</xdr:rowOff>
    </xdr:from>
    <xdr:to>
      <xdr:col>0</xdr:col>
      <xdr:colOff>789619</xdr:colOff>
      <xdr:row>29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3811761-5E80-2040-9DCC-93E4C3F20A2B}"/>
            </a:ext>
          </a:extLst>
        </xdr:cNvPr>
        <xdr:cNvSpPr/>
      </xdr:nvSpPr>
      <xdr:spPr>
        <a:xfrm>
          <a:off x="140663" y="8214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30</xdr:row>
      <xdr:rowOff>28361</xdr:rowOff>
    </xdr:from>
    <xdr:to>
      <xdr:col>0</xdr:col>
      <xdr:colOff>789618</xdr:colOff>
      <xdr:row>30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8A5F071-6F74-8C42-8B12-38EDA769C714}"/>
            </a:ext>
          </a:extLst>
        </xdr:cNvPr>
        <xdr:cNvSpPr/>
      </xdr:nvSpPr>
      <xdr:spPr>
        <a:xfrm>
          <a:off x="140662" y="8499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32</xdr:row>
      <xdr:rowOff>28361</xdr:rowOff>
    </xdr:from>
    <xdr:to>
      <xdr:col>0</xdr:col>
      <xdr:colOff>782191</xdr:colOff>
      <xdr:row>32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A6E8F9-0EF0-4347-A3B2-B45FA9369453}"/>
            </a:ext>
          </a:extLst>
        </xdr:cNvPr>
        <xdr:cNvSpPr/>
      </xdr:nvSpPr>
      <xdr:spPr>
        <a:xfrm>
          <a:off x="133235" y="8791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33</xdr:row>
      <xdr:rowOff>35788</xdr:rowOff>
    </xdr:from>
    <xdr:to>
      <xdr:col>0</xdr:col>
      <xdr:colOff>782191</xdr:colOff>
      <xdr:row>33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2411F27D-93DC-D646-8F09-309FCCD82818}"/>
            </a:ext>
          </a:extLst>
        </xdr:cNvPr>
        <xdr:cNvSpPr/>
      </xdr:nvSpPr>
      <xdr:spPr>
        <a:xfrm>
          <a:off x="133235" y="9090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34</xdr:row>
      <xdr:rowOff>35788</xdr:rowOff>
    </xdr:from>
    <xdr:to>
      <xdr:col>0</xdr:col>
      <xdr:colOff>782192</xdr:colOff>
      <xdr:row>34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266CEE09-CEF0-8D43-A302-1F9BCAD6B383}"/>
            </a:ext>
          </a:extLst>
        </xdr:cNvPr>
        <xdr:cNvSpPr/>
      </xdr:nvSpPr>
      <xdr:spPr>
        <a:xfrm>
          <a:off x="133236" y="9382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35</xdr:row>
      <xdr:rowOff>43214</xdr:rowOff>
    </xdr:from>
    <xdr:to>
      <xdr:col>0</xdr:col>
      <xdr:colOff>782191</xdr:colOff>
      <xdr:row>35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A2942A10-743D-D042-93A3-A3D1038F0C9E}"/>
            </a:ext>
          </a:extLst>
        </xdr:cNvPr>
        <xdr:cNvSpPr/>
      </xdr:nvSpPr>
      <xdr:spPr>
        <a:xfrm>
          <a:off x="133235" y="9682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37</xdr:row>
      <xdr:rowOff>13507</xdr:rowOff>
    </xdr:from>
    <xdr:to>
      <xdr:col>0</xdr:col>
      <xdr:colOff>782192</xdr:colOff>
      <xdr:row>37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A7C13124-1AE9-9144-9BA1-8B35F17F5501}"/>
            </a:ext>
          </a:extLst>
        </xdr:cNvPr>
        <xdr:cNvSpPr/>
      </xdr:nvSpPr>
      <xdr:spPr>
        <a:xfrm>
          <a:off x="133236" y="102370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247259</xdr:colOff>
      <xdr:row>0</xdr:row>
      <xdr:rowOff>133482</xdr:rowOff>
    </xdr:from>
    <xdr:to>
      <xdr:col>3</xdr:col>
      <xdr:colOff>1083419</xdr:colOff>
      <xdr:row>3</xdr:row>
      <xdr:rowOff>141663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876" y="133482"/>
          <a:ext cx="1118383" cy="901885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47" name="Rectángulo redondeado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DBBA25-0E38-4B45-BB96-3B3C5F32B993}"/>
            </a:ext>
          </a:extLst>
        </xdr:cNvPr>
        <xdr:cNvSpPr/>
      </xdr:nvSpPr>
      <xdr:spPr>
        <a:xfrm>
          <a:off x="133235" y="5293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48" name="Rectángulo redondeado 4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EFEDE6-36D7-ED42-8BDC-BE149FBCCB3C}"/>
            </a:ext>
          </a:extLst>
        </xdr:cNvPr>
        <xdr:cNvSpPr/>
      </xdr:nvSpPr>
      <xdr:spPr>
        <a:xfrm>
          <a:off x="141112" y="3894295"/>
          <a:ext cx="648956" cy="2417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49" name="Rectángulo redondeado 4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03084C-5897-C942-B68C-78A9CCA03D75}"/>
            </a:ext>
          </a:extLst>
        </xdr:cNvPr>
        <xdr:cNvSpPr/>
      </xdr:nvSpPr>
      <xdr:spPr>
        <a:xfrm>
          <a:off x="141111" y="4183864"/>
          <a:ext cx="648956" cy="1959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50" name="Rectángulo redondeado 4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4CE427-0F56-A74E-AF3C-BBBB7A4DFFEB}"/>
            </a:ext>
          </a:extLst>
        </xdr:cNvPr>
        <xdr:cNvSpPr/>
      </xdr:nvSpPr>
      <xdr:spPr>
        <a:xfrm>
          <a:off x="133685" y="4409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51" name="Rectángulo redondeado 5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3A3E7D-D571-BB4E-8662-1FCF4C646D22}"/>
            </a:ext>
          </a:extLst>
        </xdr:cNvPr>
        <xdr:cNvSpPr/>
      </xdr:nvSpPr>
      <xdr:spPr>
        <a:xfrm>
          <a:off x="140662" y="4701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52" name="Rectángulo redondeado 5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E3DC8C-0A47-9040-820E-525EA185063A}"/>
            </a:ext>
          </a:extLst>
        </xdr:cNvPr>
        <xdr:cNvSpPr/>
      </xdr:nvSpPr>
      <xdr:spPr>
        <a:xfrm>
          <a:off x="133235" y="4994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53" name="Rectángulo redondeado 5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81DB7EA-9543-C34D-8AF6-594D1290B77D}"/>
            </a:ext>
          </a:extLst>
        </xdr:cNvPr>
        <xdr:cNvSpPr/>
      </xdr:nvSpPr>
      <xdr:spPr>
        <a:xfrm>
          <a:off x="125808" y="5585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54" name="Rectángulo redondeado 5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85DB1FE-B4DE-5248-8283-C52A73FB4255}"/>
            </a:ext>
          </a:extLst>
        </xdr:cNvPr>
        <xdr:cNvSpPr/>
      </xdr:nvSpPr>
      <xdr:spPr>
        <a:xfrm>
          <a:off x="125808" y="5870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55" name="Rectángulo redondeado 5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4BCC570-BA79-E247-80BB-608CA78825E7}"/>
            </a:ext>
          </a:extLst>
        </xdr:cNvPr>
        <xdr:cNvSpPr/>
      </xdr:nvSpPr>
      <xdr:spPr>
        <a:xfrm>
          <a:off x="133235" y="6155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56" name="Rectángulo redondeado 5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E61F8C-C656-3A4E-ADBA-889E94B2F0B3}"/>
            </a:ext>
          </a:extLst>
        </xdr:cNvPr>
        <xdr:cNvSpPr/>
      </xdr:nvSpPr>
      <xdr:spPr>
        <a:xfrm>
          <a:off x="133236" y="6461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57" name="Rectángulo redondeado 5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E9C1B18-BDE4-A843-AD91-49E320680D7D}"/>
            </a:ext>
          </a:extLst>
        </xdr:cNvPr>
        <xdr:cNvSpPr/>
      </xdr:nvSpPr>
      <xdr:spPr>
        <a:xfrm>
          <a:off x="133235" y="6761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58" name="Rectángulo redondeado 5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05AAF26-354D-2F47-838B-C1C0BB80A697}"/>
            </a:ext>
          </a:extLst>
        </xdr:cNvPr>
        <xdr:cNvSpPr/>
      </xdr:nvSpPr>
      <xdr:spPr>
        <a:xfrm>
          <a:off x="133235" y="7046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59" name="Rectángulo redondeado 5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AE7513E-CA52-154D-BB6B-1EE309C795F8}"/>
            </a:ext>
          </a:extLst>
        </xdr:cNvPr>
        <xdr:cNvSpPr/>
      </xdr:nvSpPr>
      <xdr:spPr>
        <a:xfrm>
          <a:off x="125809" y="7323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60" name="Rectángulo redondeado 5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F5104DF-EC13-E04F-B69E-2B9BC5F74049}"/>
            </a:ext>
          </a:extLst>
        </xdr:cNvPr>
        <xdr:cNvSpPr/>
      </xdr:nvSpPr>
      <xdr:spPr>
        <a:xfrm>
          <a:off x="133235" y="7622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61" name="Rectángulo redondeado 6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8001E20-9E06-784F-B258-835C9C5AE49F}"/>
            </a:ext>
          </a:extLst>
        </xdr:cNvPr>
        <xdr:cNvSpPr/>
      </xdr:nvSpPr>
      <xdr:spPr>
        <a:xfrm>
          <a:off x="133235" y="7922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62" name="Rectángulo redondeado 6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5497BB7-8844-584E-93B5-55E3CFDBFCE8}"/>
            </a:ext>
          </a:extLst>
        </xdr:cNvPr>
        <xdr:cNvSpPr/>
      </xdr:nvSpPr>
      <xdr:spPr>
        <a:xfrm>
          <a:off x="140663" y="8214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63" name="Rectángulo redondeado 6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DA75FFC-F03D-6D40-AA7F-EED4C757DEB5}"/>
            </a:ext>
          </a:extLst>
        </xdr:cNvPr>
        <xdr:cNvSpPr/>
      </xdr:nvSpPr>
      <xdr:spPr>
        <a:xfrm>
          <a:off x="140662" y="8499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64" name="Rectángulo redondeado 6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3452F1C-E456-524D-9628-F196C032F751}"/>
            </a:ext>
          </a:extLst>
        </xdr:cNvPr>
        <xdr:cNvSpPr/>
      </xdr:nvSpPr>
      <xdr:spPr>
        <a:xfrm>
          <a:off x="133235" y="8791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65" name="Rectángulo redondeado 6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619DD194-283B-5746-B34F-1BA41DE4618A}"/>
            </a:ext>
          </a:extLst>
        </xdr:cNvPr>
        <xdr:cNvSpPr/>
      </xdr:nvSpPr>
      <xdr:spPr>
        <a:xfrm>
          <a:off x="133235" y="9090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66" name="Rectángulo redondeado 6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9AC660C-4478-874D-B7C2-53090AFA781A}"/>
            </a:ext>
          </a:extLst>
        </xdr:cNvPr>
        <xdr:cNvSpPr/>
      </xdr:nvSpPr>
      <xdr:spPr>
        <a:xfrm>
          <a:off x="133236" y="9382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67" name="Rectángulo redondeado 6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13D2BB8A-9F62-EE40-8AEF-347F98C0BA6F}"/>
            </a:ext>
          </a:extLst>
        </xdr:cNvPr>
        <xdr:cNvSpPr/>
      </xdr:nvSpPr>
      <xdr:spPr>
        <a:xfrm>
          <a:off x="133235" y="9682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68" name="Rectángulo redondeado 6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8C03F89-FC14-0141-AA63-64B2BC730AF1}"/>
            </a:ext>
          </a:extLst>
        </xdr:cNvPr>
        <xdr:cNvSpPr/>
      </xdr:nvSpPr>
      <xdr:spPr>
        <a:xfrm>
          <a:off x="133236" y="102370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0</xdr:row>
      <xdr:rowOff>138123</xdr:rowOff>
    </xdr:from>
    <xdr:to>
      <xdr:col>3</xdr:col>
      <xdr:colOff>1132840</xdr:colOff>
      <xdr:row>3</xdr:row>
      <xdr:rowOff>146304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138123"/>
          <a:ext cx="1120140" cy="89210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20</xdr:row>
      <xdr:rowOff>35788</xdr:rowOff>
    </xdr:from>
    <xdr:to>
      <xdr:col>0</xdr:col>
      <xdr:colOff>782191</xdr:colOff>
      <xdr:row>20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251F3-5787-9C44-8108-448E7E276FB4}"/>
            </a:ext>
          </a:extLst>
        </xdr:cNvPr>
        <xdr:cNvSpPr/>
      </xdr:nvSpPr>
      <xdr:spPr>
        <a:xfrm>
          <a:off x="133235" y="6042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E640D3-C361-574A-A1E8-F7264D3B7F32}"/>
            </a:ext>
          </a:extLst>
        </xdr:cNvPr>
        <xdr:cNvSpPr/>
      </xdr:nvSpPr>
      <xdr:spPr>
        <a:xfrm>
          <a:off x="141112" y="3932395"/>
          <a:ext cx="648956" cy="3560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2C1CA4-993F-4B41-8415-DAE2A8EC840C}"/>
            </a:ext>
          </a:extLst>
        </xdr:cNvPr>
        <xdr:cNvSpPr/>
      </xdr:nvSpPr>
      <xdr:spPr>
        <a:xfrm>
          <a:off x="141111" y="44632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C35090-DCC2-D247-9062-D33D0A579A03}"/>
            </a:ext>
          </a:extLst>
        </xdr:cNvPr>
        <xdr:cNvSpPr/>
      </xdr:nvSpPr>
      <xdr:spPr>
        <a:xfrm>
          <a:off x="133685" y="47400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3DE226-F7B8-1E44-AF46-1381AFA08F23}"/>
            </a:ext>
          </a:extLst>
        </xdr:cNvPr>
        <xdr:cNvSpPr/>
      </xdr:nvSpPr>
      <xdr:spPr>
        <a:xfrm>
          <a:off x="140662" y="53623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18</xdr:row>
      <xdr:rowOff>28361</xdr:rowOff>
    </xdr:from>
    <xdr:to>
      <xdr:col>0</xdr:col>
      <xdr:colOff>782191</xdr:colOff>
      <xdr:row>18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CC4BC37-955C-F346-8249-DDFD7786A35D}"/>
            </a:ext>
          </a:extLst>
        </xdr:cNvPr>
        <xdr:cNvSpPr/>
      </xdr:nvSpPr>
      <xdr:spPr>
        <a:xfrm>
          <a:off x="133235" y="5743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21</xdr:row>
      <xdr:rowOff>35787</xdr:rowOff>
    </xdr:from>
    <xdr:to>
      <xdr:col>0</xdr:col>
      <xdr:colOff>774764</xdr:colOff>
      <xdr:row>21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BBF6DCD-4961-434C-A846-9B959ED0FFBB}"/>
            </a:ext>
          </a:extLst>
        </xdr:cNvPr>
        <xdr:cNvSpPr/>
      </xdr:nvSpPr>
      <xdr:spPr>
        <a:xfrm>
          <a:off x="125808" y="6334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22</xdr:row>
      <xdr:rowOff>28361</xdr:rowOff>
    </xdr:from>
    <xdr:to>
      <xdr:col>0</xdr:col>
      <xdr:colOff>774764</xdr:colOff>
      <xdr:row>22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6AB8287-8D3F-D143-A71E-71A3B3169FD8}"/>
            </a:ext>
          </a:extLst>
        </xdr:cNvPr>
        <xdr:cNvSpPr/>
      </xdr:nvSpPr>
      <xdr:spPr>
        <a:xfrm>
          <a:off x="125808" y="66196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23</xdr:row>
      <xdr:rowOff>20934</xdr:rowOff>
    </xdr:from>
    <xdr:to>
      <xdr:col>0</xdr:col>
      <xdr:colOff>782191</xdr:colOff>
      <xdr:row>23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1C71030-5200-A849-AC04-D34EE2C74E0C}"/>
            </a:ext>
          </a:extLst>
        </xdr:cNvPr>
        <xdr:cNvSpPr/>
      </xdr:nvSpPr>
      <xdr:spPr>
        <a:xfrm>
          <a:off x="133235" y="69043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24</xdr:row>
      <xdr:rowOff>35787</xdr:rowOff>
    </xdr:from>
    <xdr:to>
      <xdr:col>0</xdr:col>
      <xdr:colOff>782192</xdr:colOff>
      <xdr:row>24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F7362D4-B982-1148-AF03-AD94475D5908}"/>
            </a:ext>
          </a:extLst>
        </xdr:cNvPr>
        <xdr:cNvSpPr/>
      </xdr:nvSpPr>
      <xdr:spPr>
        <a:xfrm>
          <a:off x="133236" y="72112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25</xdr:row>
      <xdr:rowOff>43215</xdr:rowOff>
    </xdr:from>
    <xdr:to>
      <xdr:col>0</xdr:col>
      <xdr:colOff>782191</xdr:colOff>
      <xdr:row>25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DA3DC6F-E216-9E44-ACDF-ED972CCC6D25}"/>
            </a:ext>
          </a:extLst>
        </xdr:cNvPr>
        <xdr:cNvSpPr/>
      </xdr:nvSpPr>
      <xdr:spPr>
        <a:xfrm>
          <a:off x="133235" y="75108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26</xdr:row>
      <xdr:rowOff>35788</xdr:rowOff>
    </xdr:from>
    <xdr:to>
      <xdr:col>0</xdr:col>
      <xdr:colOff>782191</xdr:colOff>
      <xdr:row>26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4E6CA2F-E52E-9840-A94E-14BC88827D2B}"/>
            </a:ext>
          </a:extLst>
        </xdr:cNvPr>
        <xdr:cNvSpPr/>
      </xdr:nvSpPr>
      <xdr:spPr>
        <a:xfrm>
          <a:off x="133235" y="7795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27</xdr:row>
      <xdr:rowOff>20934</xdr:rowOff>
    </xdr:from>
    <xdr:to>
      <xdr:col>0</xdr:col>
      <xdr:colOff>774765</xdr:colOff>
      <xdr:row>27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D325292-7C71-FC4D-9BE3-977BA5F7A4D2}"/>
            </a:ext>
          </a:extLst>
        </xdr:cNvPr>
        <xdr:cNvSpPr/>
      </xdr:nvSpPr>
      <xdr:spPr>
        <a:xfrm>
          <a:off x="125809" y="80727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28</xdr:row>
      <xdr:rowOff>28361</xdr:rowOff>
    </xdr:from>
    <xdr:to>
      <xdr:col>0</xdr:col>
      <xdr:colOff>782191</xdr:colOff>
      <xdr:row>28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5C16BE2-8CAD-F64F-A868-3327683B8847}"/>
            </a:ext>
          </a:extLst>
        </xdr:cNvPr>
        <xdr:cNvSpPr/>
      </xdr:nvSpPr>
      <xdr:spPr>
        <a:xfrm>
          <a:off x="133235" y="84611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29</xdr:row>
      <xdr:rowOff>35788</xdr:rowOff>
    </xdr:from>
    <xdr:to>
      <xdr:col>0</xdr:col>
      <xdr:colOff>782191</xdr:colOff>
      <xdr:row>29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95DBA92-33C3-EB4D-BE15-EA938306B2D5}"/>
            </a:ext>
          </a:extLst>
        </xdr:cNvPr>
        <xdr:cNvSpPr/>
      </xdr:nvSpPr>
      <xdr:spPr>
        <a:xfrm>
          <a:off x="133235" y="8760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30</xdr:row>
      <xdr:rowOff>35788</xdr:rowOff>
    </xdr:from>
    <xdr:to>
      <xdr:col>0</xdr:col>
      <xdr:colOff>789619</xdr:colOff>
      <xdr:row>30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509913E-F957-DF46-8656-A33923F2F454}"/>
            </a:ext>
          </a:extLst>
        </xdr:cNvPr>
        <xdr:cNvSpPr/>
      </xdr:nvSpPr>
      <xdr:spPr>
        <a:xfrm>
          <a:off x="140663" y="90527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31</xdr:row>
      <xdr:rowOff>28361</xdr:rowOff>
    </xdr:from>
    <xdr:to>
      <xdr:col>0</xdr:col>
      <xdr:colOff>789618</xdr:colOff>
      <xdr:row>31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F845F3F-1650-2F41-94EA-429B3EB3279F}"/>
            </a:ext>
          </a:extLst>
        </xdr:cNvPr>
        <xdr:cNvSpPr/>
      </xdr:nvSpPr>
      <xdr:spPr>
        <a:xfrm>
          <a:off x="140662" y="9337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32</xdr:row>
      <xdr:rowOff>28361</xdr:rowOff>
    </xdr:from>
    <xdr:to>
      <xdr:col>0</xdr:col>
      <xdr:colOff>782191</xdr:colOff>
      <xdr:row>32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373FED2-27BF-534A-A3EB-31821BDC0D7E}"/>
            </a:ext>
          </a:extLst>
        </xdr:cNvPr>
        <xdr:cNvSpPr/>
      </xdr:nvSpPr>
      <xdr:spPr>
        <a:xfrm>
          <a:off x="133235" y="96295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33</xdr:row>
      <xdr:rowOff>35788</xdr:rowOff>
    </xdr:from>
    <xdr:to>
      <xdr:col>0</xdr:col>
      <xdr:colOff>782191</xdr:colOff>
      <xdr:row>33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7687779-A999-AA48-93B4-3FB7E951BD26}"/>
            </a:ext>
          </a:extLst>
        </xdr:cNvPr>
        <xdr:cNvSpPr/>
      </xdr:nvSpPr>
      <xdr:spPr>
        <a:xfrm>
          <a:off x="133235" y="9929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34</xdr:row>
      <xdr:rowOff>35788</xdr:rowOff>
    </xdr:from>
    <xdr:to>
      <xdr:col>0</xdr:col>
      <xdr:colOff>782192</xdr:colOff>
      <xdr:row>34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63AF85E-0A11-A945-9834-71E23A8BA315}"/>
            </a:ext>
          </a:extLst>
        </xdr:cNvPr>
        <xdr:cNvSpPr/>
      </xdr:nvSpPr>
      <xdr:spPr>
        <a:xfrm>
          <a:off x="133236" y="10221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35</xdr:row>
      <xdr:rowOff>43214</xdr:rowOff>
    </xdr:from>
    <xdr:to>
      <xdr:col>0</xdr:col>
      <xdr:colOff>782191</xdr:colOff>
      <xdr:row>35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45D7FFB-6DCB-BF44-93EE-E2BFD596DBB8}"/>
            </a:ext>
          </a:extLst>
        </xdr:cNvPr>
        <xdr:cNvSpPr/>
      </xdr:nvSpPr>
      <xdr:spPr>
        <a:xfrm>
          <a:off x="133235" y="105207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37</xdr:row>
      <xdr:rowOff>13507</xdr:rowOff>
    </xdr:from>
    <xdr:to>
      <xdr:col>0</xdr:col>
      <xdr:colOff>782192</xdr:colOff>
      <xdr:row>37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4E0D773F-8322-5B4F-B2DF-CB3DBCDCC3F6}"/>
            </a:ext>
          </a:extLst>
        </xdr:cNvPr>
        <xdr:cNvSpPr/>
      </xdr:nvSpPr>
      <xdr:spPr>
        <a:xfrm>
          <a:off x="133236" y="110752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31172</xdr:colOff>
      <xdr:row>0</xdr:row>
      <xdr:rowOff>129348</xdr:rowOff>
    </xdr:from>
    <xdr:to>
      <xdr:col>3</xdr:col>
      <xdr:colOff>1154545</xdr:colOff>
      <xdr:row>3</xdr:row>
      <xdr:rowOff>137529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717" y="129348"/>
          <a:ext cx="1123373" cy="874090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2556DB-9897-0A48-A019-ED2EBCDF18B1}"/>
            </a:ext>
          </a:extLst>
        </xdr:cNvPr>
        <xdr:cNvSpPr/>
      </xdr:nvSpPr>
      <xdr:spPr>
        <a:xfrm>
          <a:off x="133235" y="6093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5B5279-6424-BC40-9391-3B9F3E1494B0}"/>
            </a:ext>
          </a:extLst>
        </xdr:cNvPr>
        <xdr:cNvSpPr/>
      </xdr:nvSpPr>
      <xdr:spPr>
        <a:xfrm>
          <a:off x="141112" y="3932395"/>
          <a:ext cx="648956" cy="3560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CCD262-9566-364F-BE7D-1BC6B80D0327}"/>
            </a:ext>
          </a:extLst>
        </xdr:cNvPr>
        <xdr:cNvSpPr/>
      </xdr:nvSpPr>
      <xdr:spPr>
        <a:xfrm>
          <a:off x="141111" y="446326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A82234-B7D4-7D4C-B537-0AF8AAF0B928}"/>
            </a:ext>
          </a:extLst>
        </xdr:cNvPr>
        <xdr:cNvSpPr/>
      </xdr:nvSpPr>
      <xdr:spPr>
        <a:xfrm>
          <a:off x="133685" y="48289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8C13C2-3FF1-A143-9976-582E6382CAB4}"/>
            </a:ext>
          </a:extLst>
        </xdr:cNvPr>
        <xdr:cNvSpPr/>
      </xdr:nvSpPr>
      <xdr:spPr>
        <a:xfrm>
          <a:off x="140662" y="52861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C703406-10C3-6D4C-8735-D8973DC07C21}"/>
            </a:ext>
          </a:extLst>
        </xdr:cNvPr>
        <xdr:cNvSpPr/>
      </xdr:nvSpPr>
      <xdr:spPr>
        <a:xfrm>
          <a:off x="133235" y="5679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2D06468-6E7A-F247-BE29-81E5544DF043}"/>
            </a:ext>
          </a:extLst>
        </xdr:cNvPr>
        <xdr:cNvSpPr/>
      </xdr:nvSpPr>
      <xdr:spPr>
        <a:xfrm>
          <a:off x="125808" y="63857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7235E03-6595-4D44-BF41-3883F50769F9}"/>
            </a:ext>
          </a:extLst>
        </xdr:cNvPr>
        <xdr:cNvSpPr/>
      </xdr:nvSpPr>
      <xdr:spPr>
        <a:xfrm>
          <a:off x="125808" y="6670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7F6E3B9-96D7-A54F-B045-CF079D555FDB}"/>
            </a:ext>
          </a:extLst>
        </xdr:cNvPr>
        <xdr:cNvSpPr/>
      </xdr:nvSpPr>
      <xdr:spPr>
        <a:xfrm>
          <a:off x="133235" y="69551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CC854F2-6522-EB48-8595-D515714EF97B}"/>
            </a:ext>
          </a:extLst>
        </xdr:cNvPr>
        <xdr:cNvSpPr/>
      </xdr:nvSpPr>
      <xdr:spPr>
        <a:xfrm>
          <a:off x="133236" y="72620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CF9BA5B-2511-854A-B100-DAE080374F2D}"/>
            </a:ext>
          </a:extLst>
        </xdr:cNvPr>
        <xdr:cNvSpPr/>
      </xdr:nvSpPr>
      <xdr:spPr>
        <a:xfrm>
          <a:off x="133235" y="75616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C10F435-5EA8-D14B-A348-F14C36CFA4A1}"/>
            </a:ext>
          </a:extLst>
        </xdr:cNvPr>
        <xdr:cNvSpPr/>
      </xdr:nvSpPr>
      <xdr:spPr>
        <a:xfrm>
          <a:off x="133235" y="78462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F887993-FA7F-344F-9387-F3BC7650CE0F}"/>
            </a:ext>
          </a:extLst>
        </xdr:cNvPr>
        <xdr:cNvSpPr/>
      </xdr:nvSpPr>
      <xdr:spPr>
        <a:xfrm>
          <a:off x="125809" y="81235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3E50811-C79B-C747-B739-2A84AFE6D186}"/>
            </a:ext>
          </a:extLst>
        </xdr:cNvPr>
        <xdr:cNvSpPr/>
      </xdr:nvSpPr>
      <xdr:spPr>
        <a:xfrm>
          <a:off x="133235" y="8423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DF56564-72F0-4846-B733-EACAB56602D6}"/>
            </a:ext>
          </a:extLst>
        </xdr:cNvPr>
        <xdr:cNvSpPr/>
      </xdr:nvSpPr>
      <xdr:spPr>
        <a:xfrm>
          <a:off x="133235" y="8722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FFBA910-70AF-4F4C-A44C-39BD44C4A20F}"/>
            </a:ext>
          </a:extLst>
        </xdr:cNvPr>
        <xdr:cNvSpPr/>
      </xdr:nvSpPr>
      <xdr:spPr>
        <a:xfrm>
          <a:off x="140663" y="9014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64A7333-874E-0A42-8F92-985B04AF3FC8}"/>
            </a:ext>
          </a:extLst>
        </xdr:cNvPr>
        <xdr:cNvSpPr/>
      </xdr:nvSpPr>
      <xdr:spPr>
        <a:xfrm>
          <a:off x="140662" y="9299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87CCE49-DA9C-5747-BEB7-B06D92008131}"/>
            </a:ext>
          </a:extLst>
        </xdr:cNvPr>
        <xdr:cNvSpPr/>
      </xdr:nvSpPr>
      <xdr:spPr>
        <a:xfrm>
          <a:off x="133235" y="9591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515328A5-F3F6-BE4F-8C60-A6CC01265168}"/>
            </a:ext>
          </a:extLst>
        </xdr:cNvPr>
        <xdr:cNvSpPr/>
      </xdr:nvSpPr>
      <xdr:spPr>
        <a:xfrm>
          <a:off x="133235" y="9890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3E939BA-714E-854A-8504-0D0F93D16EC5}"/>
            </a:ext>
          </a:extLst>
        </xdr:cNvPr>
        <xdr:cNvSpPr/>
      </xdr:nvSpPr>
      <xdr:spPr>
        <a:xfrm>
          <a:off x="133236" y="10183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1FFA045-AAD1-CA43-851F-0B5C3605FA3A}"/>
            </a:ext>
          </a:extLst>
        </xdr:cNvPr>
        <xdr:cNvSpPr/>
      </xdr:nvSpPr>
      <xdr:spPr>
        <a:xfrm>
          <a:off x="133235" y="104826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37</xdr:row>
      <xdr:rowOff>13507</xdr:rowOff>
    </xdr:from>
    <xdr:to>
      <xdr:col>0</xdr:col>
      <xdr:colOff>782192</xdr:colOff>
      <xdr:row>37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8A739C4-D7A7-F641-AC13-69114C3087D4}"/>
            </a:ext>
          </a:extLst>
        </xdr:cNvPr>
        <xdr:cNvSpPr/>
      </xdr:nvSpPr>
      <xdr:spPr>
        <a:xfrm>
          <a:off x="133236" y="110371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117803</xdr:rowOff>
    </xdr:from>
    <xdr:to>
      <xdr:col>4</xdr:col>
      <xdr:colOff>1905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580" y="117803"/>
          <a:ext cx="1120140" cy="89210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20</xdr:row>
      <xdr:rowOff>35788</xdr:rowOff>
    </xdr:from>
    <xdr:to>
      <xdr:col>0</xdr:col>
      <xdr:colOff>782191</xdr:colOff>
      <xdr:row>20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725B62-9960-7544-AF12-33D384E3890A}"/>
            </a:ext>
          </a:extLst>
        </xdr:cNvPr>
        <xdr:cNvSpPr/>
      </xdr:nvSpPr>
      <xdr:spPr>
        <a:xfrm>
          <a:off x="133235" y="5547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A6E246-8367-7242-BE2B-275B1DD90AD9}"/>
            </a:ext>
          </a:extLst>
        </xdr:cNvPr>
        <xdr:cNvSpPr/>
      </xdr:nvSpPr>
      <xdr:spPr>
        <a:xfrm>
          <a:off x="141112" y="3932395"/>
          <a:ext cx="648956" cy="2036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61BC95-42BE-1A4E-BBAA-63EB0C6ABDFC}"/>
            </a:ext>
          </a:extLst>
        </xdr:cNvPr>
        <xdr:cNvSpPr/>
      </xdr:nvSpPr>
      <xdr:spPr>
        <a:xfrm>
          <a:off x="141111" y="41838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16</xdr:row>
      <xdr:rowOff>28361</xdr:rowOff>
    </xdr:from>
    <xdr:to>
      <xdr:col>0</xdr:col>
      <xdr:colOff>782641</xdr:colOff>
      <xdr:row>16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97F9FAF-45DC-EF48-8556-79DB85E4C7CE}"/>
            </a:ext>
          </a:extLst>
        </xdr:cNvPr>
        <xdr:cNvSpPr/>
      </xdr:nvSpPr>
      <xdr:spPr>
        <a:xfrm>
          <a:off x="133685" y="44606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18</xdr:row>
      <xdr:rowOff>28361</xdr:rowOff>
    </xdr:from>
    <xdr:to>
      <xdr:col>0</xdr:col>
      <xdr:colOff>789618</xdr:colOff>
      <xdr:row>18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692A02-2B4A-C340-B4ED-693EFDC1343F}"/>
            </a:ext>
          </a:extLst>
        </xdr:cNvPr>
        <xdr:cNvSpPr/>
      </xdr:nvSpPr>
      <xdr:spPr>
        <a:xfrm>
          <a:off x="140662" y="4955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19</xdr:row>
      <xdr:rowOff>28361</xdr:rowOff>
    </xdr:from>
    <xdr:to>
      <xdr:col>0</xdr:col>
      <xdr:colOff>782191</xdr:colOff>
      <xdr:row>19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8114EC-3370-4648-B713-36783A0CAE7C}"/>
            </a:ext>
          </a:extLst>
        </xdr:cNvPr>
        <xdr:cNvSpPr/>
      </xdr:nvSpPr>
      <xdr:spPr>
        <a:xfrm>
          <a:off x="133235" y="5248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21</xdr:row>
      <xdr:rowOff>35787</xdr:rowOff>
    </xdr:from>
    <xdr:to>
      <xdr:col>0</xdr:col>
      <xdr:colOff>774764</xdr:colOff>
      <xdr:row>21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8005462-1121-B049-A501-33099443E50C}"/>
            </a:ext>
          </a:extLst>
        </xdr:cNvPr>
        <xdr:cNvSpPr/>
      </xdr:nvSpPr>
      <xdr:spPr>
        <a:xfrm>
          <a:off x="125808" y="5839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22</xdr:row>
      <xdr:rowOff>28361</xdr:rowOff>
    </xdr:from>
    <xdr:to>
      <xdr:col>0</xdr:col>
      <xdr:colOff>774764</xdr:colOff>
      <xdr:row>22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CC91CF2-ABC0-A34D-A21A-34B717301697}"/>
            </a:ext>
          </a:extLst>
        </xdr:cNvPr>
        <xdr:cNvSpPr/>
      </xdr:nvSpPr>
      <xdr:spPr>
        <a:xfrm>
          <a:off x="125808" y="6124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23</xdr:row>
      <xdr:rowOff>20934</xdr:rowOff>
    </xdr:from>
    <xdr:to>
      <xdr:col>0</xdr:col>
      <xdr:colOff>782191</xdr:colOff>
      <xdr:row>23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7E75E3F-E905-4843-A70A-52E85CB2C47E}"/>
            </a:ext>
          </a:extLst>
        </xdr:cNvPr>
        <xdr:cNvSpPr/>
      </xdr:nvSpPr>
      <xdr:spPr>
        <a:xfrm>
          <a:off x="133235" y="6409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24</xdr:row>
      <xdr:rowOff>35787</xdr:rowOff>
    </xdr:from>
    <xdr:to>
      <xdr:col>0</xdr:col>
      <xdr:colOff>782192</xdr:colOff>
      <xdr:row>24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3BA033F-A601-4745-8C7F-927A202E5F4A}"/>
            </a:ext>
          </a:extLst>
        </xdr:cNvPr>
        <xdr:cNvSpPr/>
      </xdr:nvSpPr>
      <xdr:spPr>
        <a:xfrm>
          <a:off x="133236" y="6715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25</xdr:row>
      <xdr:rowOff>43215</xdr:rowOff>
    </xdr:from>
    <xdr:to>
      <xdr:col>0</xdr:col>
      <xdr:colOff>782191</xdr:colOff>
      <xdr:row>25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3FEFFB1-699E-E845-9FC6-FC399B874C56}"/>
            </a:ext>
          </a:extLst>
        </xdr:cNvPr>
        <xdr:cNvSpPr/>
      </xdr:nvSpPr>
      <xdr:spPr>
        <a:xfrm>
          <a:off x="133235" y="7015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26</xdr:row>
      <xdr:rowOff>35788</xdr:rowOff>
    </xdr:from>
    <xdr:to>
      <xdr:col>0</xdr:col>
      <xdr:colOff>782191</xdr:colOff>
      <xdr:row>26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670274C-AAEA-3E4B-A14C-1A09B5736BD7}"/>
            </a:ext>
          </a:extLst>
        </xdr:cNvPr>
        <xdr:cNvSpPr/>
      </xdr:nvSpPr>
      <xdr:spPr>
        <a:xfrm>
          <a:off x="133235" y="7300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28</xdr:row>
      <xdr:rowOff>20934</xdr:rowOff>
    </xdr:from>
    <xdr:to>
      <xdr:col>0</xdr:col>
      <xdr:colOff>774765</xdr:colOff>
      <xdr:row>28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78E27E7-9021-F840-9BDE-D2468BE952E6}"/>
            </a:ext>
          </a:extLst>
        </xdr:cNvPr>
        <xdr:cNvSpPr/>
      </xdr:nvSpPr>
      <xdr:spPr>
        <a:xfrm>
          <a:off x="125809" y="7577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29</xdr:row>
      <xdr:rowOff>28361</xdr:rowOff>
    </xdr:from>
    <xdr:to>
      <xdr:col>0</xdr:col>
      <xdr:colOff>782191</xdr:colOff>
      <xdr:row>29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C5E8863-258B-AC40-BF46-9D88CBCB364C}"/>
            </a:ext>
          </a:extLst>
        </xdr:cNvPr>
        <xdr:cNvSpPr/>
      </xdr:nvSpPr>
      <xdr:spPr>
        <a:xfrm>
          <a:off x="133235" y="7876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30</xdr:row>
      <xdr:rowOff>35788</xdr:rowOff>
    </xdr:from>
    <xdr:to>
      <xdr:col>0</xdr:col>
      <xdr:colOff>782191</xdr:colOff>
      <xdr:row>30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3A48B28B-4783-0242-9747-B85570416290}"/>
            </a:ext>
          </a:extLst>
        </xdr:cNvPr>
        <xdr:cNvSpPr/>
      </xdr:nvSpPr>
      <xdr:spPr>
        <a:xfrm>
          <a:off x="133235" y="8176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31</xdr:row>
      <xdr:rowOff>35788</xdr:rowOff>
    </xdr:from>
    <xdr:to>
      <xdr:col>0</xdr:col>
      <xdr:colOff>789619</xdr:colOff>
      <xdr:row>31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2BA66667-DEC0-3B43-B1A6-404AD82F6111}"/>
            </a:ext>
          </a:extLst>
        </xdr:cNvPr>
        <xdr:cNvSpPr/>
      </xdr:nvSpPr>
      <xdr:spPr>
        <a:xfrm>
          <a:off x="140663" y="8468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32</xdr:row>
      <xdr:rowOff>28361</xdr:rowOff>
    </xdr:from>
    <xdr:to>
      <xdr:col>0</xdr:col>
      <xdr:colOff>789618</xdr:colOff>
      <xdr:row>32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7B5E1E9-49EF-8242-8347-D80C5D5271CB}"/>
            </a:ext>
          </a:extLst>
        </xdr:cNvPr>
        <xdr:cNvSpPr/>
      </xdr:nvSpPr>
      <xdr:spPr>
        <a:xfrm>
          <a:off x="140662" y="8753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34</xdr:row>
      <xdr:rowOff>28361</xdr:rowOff>
    </xdr:from>
    <xdr:to>
      <xdr:col>0</xdr:col>
      <xdr:colOff>782191</xdr:colOff>
      <xdr:row>34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C12484C-E5F9-6249-BB36-A215CFC42456}"/>
            </a:ext>
          </a:extLst>
        </xdr:cNvPr>
        <xdr:cNvSpPr/>
      </xdr:nvSpPr>
      <xdr:spPr>
        <a:xfrm>
          <a:off x="133235" y="9045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35</xdr:row>
      <xdr:rowOff>35788</xdr:rowOff>
    </xdr:from>
    <xdr:to>
      <xdr:col>0</xdr:col>
      <xdr:colOff>782191</xdr:colOff>
      <xdr:row>35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6E69279-0E18-974A-B702-B8592E82DDCD}"/>
            </a:ext>
          </a:extLst>
        </xdr:cNvPr>
        <xdr:cNvSpPr/>
      </xdr:nvSpPr>
      <xdr:spPr>
        <a:xfrm>
          <a:off x="133235" y="9344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36</xdr:row>
      <xdr:rowOff>35788</xdr:rowOff>
    </xdr:from>
    <xdr:to>
      <xdr:col>0</xdr:col>
      <xdr:colOff>782192</xdr:colOff>
      <xdr:row>36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9C8869B-8849-974A-ACD3-FC82136FEEB2}"/>
            </a:ext>
          </a:extLst>
        </xdr:cNvPr>
        <xdr:cNvSpPr/>
      </xdr:nvSpPr>
      <xdr:spPr>
        <a:xfrm>
          <a:off x="133236" y="9636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37</xdr:row>
      <xdr:rowOff>43214</xdr:rowOff>
    </xdr:from>
    <xdr:to>
      <xdr:col>0</xdr:col>
      <xdr:colOff>782191</xdr:colOff>
      <xdr:row>37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1DCF9E97-FED8-E841-8C29-0F2880D2DFB6}"/>
            </a:ext>
          </a:extLst>
        </xdr:cNvPr>
        <xdr:cNvSpPr/>
      </xdr:nvSpPr>
      <xdr:spPr>
        <a:xfrm>
          <a:off x="133235" y="9936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40</xdr:row>
      <xdr:rowOff>13507</xdr:rowOff>
    </xdr:from>
    <xdr:to>
      <xdr:col>0</xdr:col>
      <xdr:colOff>782192</xdr:colOff>
      <xdr:row>40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F6266616-B72C-E445-8A80-3C51C5D04387}"/>
            </a:ext>
          </a:extLst>
        </xdr:cNvPr>
        <xdr:cNvSpPr/>
      </xdr:nvSpPr>
      <xdr:spPr>
        <a:xfrm>
          <a:off x="133236" y="110752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0</xdr:row>
      <xdr:rowOff>117803</xdr:rowOff>
    </xdr:from>
    <xdr:to>
      <xdr:col>4</xdr:col>
      <xdr:colOff>3810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060" y="117803"/>
          <a:ext cx="1120140" cy="89210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C8C1C2-572F-2C4C-B4A8-D0A38A7C4EB7}"/>
            </a:ext>
          </a:extLst>
        </xdr:cNvPr>
        <xdr:cNvSpPr/>
      </xdr:nvSpPr>
      <xdr:spPr>
        <a:xfrm>
          <a:off x="133235" y="5547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33F8AB-0625-AB43-BC0D-D094A6941DC3}"/>
            </a:ext>
          </a:extLst>
        </xdr:cNvPr>
        <xdr:cNvSpPr/>
      </xdr:nvSpPr>
      <xdr:spPr>
        <a:xfrm>
          <a:off x="141112" y="3932395"/>
          <a:ext cx="648956" cy="2036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E28ECE-0BA0-3642-97F6-79A102356F91}"/>
            </a:ext>
          </a:extLst>
        </xdr:cNvPr>
        <xdr:cNvSpPr/>
      </xdr:nvSpPr>
      <xdr:spPr>
        <a:xfrm>
          <a:off x="141111" y="41838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E6B87D-C31B-C64E-BF4D-A8882B2F97F0}"/>
            </a:ext>
          </a:extLst>
        </xdr:cNvPr>
        <xdr:cNvSpPr/>
      </xdr:nvSpPr>
      <xdr:spPr>
        <a:xfrm>
          <a:off x="133685" y="44606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FD25030-D0CF-984C-9F14-7F5A3CE58972}"/>
            </a:ext>
          </a:extLst>
        </xdr:cNvPr>
        <xdr:cNvSpPr/>
      </xdr:nvSpPr>
      <xdr:spPr>
        <a:xfrm>
          <a:off x="140662" y="4955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A61A51-8770-5C4D-9DA6-ABC1F712B678}"/>
            </a:ext>
          </a:extLst>
        </xdr:cNvPr>
        <xdr:cNvSpPr/>
      </xdr:nvSpPr>
      <xdr:spPr>
        <a:xfrm>
          <a:off x="133235" y="5248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246308A-442A-3B4D-8291-022462356B52}"/>
            </a:ext>
          </a:extLst>
        </xdr:cNvPr>
        <xdr:cNvSpPr/>
      </xdr:nvSpPr>
      <xdr:spPr>
        <a:xfrm>
          <a:off x="125808" y="5839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41AA75A-AB48-8E4E-8315-63BDE3A28F74}"/>
            </a:ext>
          </a:extLst>
        </xdr:cNvPr>
        <xdr:cNvSpPr/>
      </xdr:nvSpPr>
      <xdr:spPr>
        <a:xfrm>
          <a:off x="125808" y="6124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5E2E56-ABD1-9442-82A5-5A52AB6452DF}"/>
            </a:ext>
          </a:extLst>
        </xdr:cNvPr>
        <xdr:cNvSpPr/>
      </xdr:nvSpPr>
      <xdr:spPr>
        <a:xfrm>
          <a:off x="133235" y="6409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2714345-DC94-B848-908B-71F2F16A4DB0}"/>
            </a:ext>
          </a:extLst>
        </xdr:cNvPr>
        <xdr:cNvSpPr/>
      </xdr:nvSpPr>
      <xdr:spPr>
        <a:xfrm>
          <a:off x="133236" y="6715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20A7D0B-06BD-7142-BB38-EEF1FCDB196E}"/>
            </a:ext>
          </a:extLst>
        </xdr:cNvPr>
        <xdr:cNvSpPr/>
      </xdr:nvSpPr>
      <xdr:spPr>
        <a:xfrm>
          <a:off x="133235" y="7015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E488F2C-9D21-E54C-92B3-40DD3D1553B3}"/>
            </a:ext>
          </a:extLst>
        </xdr:cNvPr>
        <xdr:cNvSpPr/>
      </xdr:nvSpPr>
      <xdr:spPr>
        <a:xfrm>
          <a:off x="133235" y="7300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AFD4300-5A07-E843-A344-6D87CBC8D8C4}"/>
            </a:ext>
          </a:extLst>
        </xdr:cNvPr>
        <xdr:cNvSpPr/>
      </xdr:nvSpPr>
      <xdr:spPr>
        <a:xfrm>
          <a:off x="125809" y="7577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27</xdr:row>
      <xdr:rowOff>28361</xdr:rowOff>
    </xdr:from>
    <xdr:to>
      <xdr:col>0</xdr:col>
      <xdr:colOff>782191</xdr:colOff>
      <xdr:row>27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B09B2AB-A606-B044-9D63-035DA7FF3E3A}"/>
            </a:ext>
          </a:extLst>
        </xdr:cNvPr>
        <xdr:cNvSpPr/>
      </xdr:nvSpPr>
      <xdr:spPr>
        <a:xfrm>
          <a:off x="133235" y="7876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29</xdr:row>
      <xdr:rowOff>35788</xdr:rowOff>
    </xdr:from>
    <xdr:to>
      <xdr:col>0</xdr:col>
      <xdr:colOff>782191</xdr:colOff>
      <xdr:row>29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FB7BA30-6808-EA4F-B470-1661CE9F5EFE}"/>
            </a:ext>
          </a:extLst>
        </xdr:cNvPr>
        <xdr:cNvSpPr/>
      </xdr:nvSpPr>
      <xdr:spPr>
        <a:xfrm>
          <a:off x="133235" y="8176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30</xdr:row>
      <xdr:rowOff>35788</xdr:rowOff>
    </xdr:from>
    <xdr:to>
      <xdr:col>0</xdr:col>
      <xdr:colOff>789619</xdr:colOff>
      <xdr:row>30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5CF4FC7-2207-0A44-9E0C-887AB26FBE9C}"/>
            </a:ext>
          </a:extLst>
        </xdr:cNvPr>
        <xdr:cNvSpPr/>
      </xdr:nvSpPr>
      <xdr:spPr>
        <a:xfrm>
          <a:off x="140663" y="8468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31</xdr:row>
      <xdr:rowOff>28361</xdr:rowOff>
    </xdr:from>
    <xdr:to>
      <xdr:col>0</xdr:col>
      <xdr:colOff>789618</xdr:colOff>
      <xdr:row>31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C240BEF-8962-C64E-863A-E67B9FC533FC}"/>
            </a:ext>
          </a:extLst>
        </xdr:cNvPr>
        <xdr:cNvSpPr/>
      </xdr:nvSpPr>
      <xdr:spPr>
        <a:xfrm>
          <a:off x="140662" y="8753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32</xdr:row>
      <xdr:rowOff>28361</xdr:rowOff>
    </xdr:from>
    <xdr:to>
      <xdr:col>0</xdr:col>
      <xdr:colOff>782191</xdr:colOff>
      <xdr:row>32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D225741A-8F7A-4C41-81C1-2671E58B7EA0}"/>
            </a:ext>
          </a:extLst>
        </xdr:cNvPr>
        <xdr:cNvSpPr/>
      </xdr:nvSpPr>
      <xdr:spPr>
        <a:xfrm>
          <a:off x="133235" y="9045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33</xdr:row>
      <xdr:rowOff>35788</xdr:rowOff>
    </xdr:from>
    <xdr:to>
      <xdr:col>0</xdr:col>
      <xdr:colOff>782191</xdr:colOff>
      <xdr:row>33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1747099-8C77-1F42-9340-86E136337769}"/>
            </a:ext>
          </a:extLst>
        </xdr:cNvPr>
        <xdr:cNvSpPr/>
      </xdr:nvSpPr>
      <xdr:spPr>
        <a:xfrm>
          <a:off x="133235" y="9344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34</xdr:row>
      <xdr:rowOff>35788</xdr:rowOff>
    </xdr:from>
    <xdr:to>
      <xdr:col>0</xdr:col>
      <xdr:colOff>782192</xdr:colOff>
      <xdr:row>34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704A872-A200-A44F-A84D-C2AA329C07F2}"/>
            </a:ext>
          </a:extLst>
        </xdr:cNvPr>
        <xdr:cNvSpPr/>
      </xdr:nvSpPr>
      <xdr:spPr>
        <a:xfrm>
          <a:off x="133236" y="9636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35</xdr:row>
      <xdr:rowOff>43214</xdr:rowOff>
    </xdr:from>
    <xdr:to>
      <xdr:col>0</xdr:col>
      <xdr:colOff>782191</xdr:colOff>
      <xdr:row>35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CB896E90-9502-8C4F-9169-5011C2C1E30C}"/>
            </a:ext>
          </a:extLst>
        </xdr:cNvPr>
        <xdr:cNvSpPr/>
      </xdr:nvSpPr>
      <xdr:spPr>
        <a:xfrm>
          <a:off x="133235" y="9936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39</xdr:row>
      <xdr:rowOff>13507</xdr:rowOff>
    </xdr:from>
    <xdr:to>
      <xdr:col>0</xdr:col>
      <xdr:colOff>782192</xdr:colOff>
      <xdr:row>39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FAF29221-F7E4-4D40-8621-CB9BE22A5047}"/>
            </a:ext>
          </a:extLst>
        </xdr:cNvPr>
        <xdr:cNvSpPr/>
      </xdr:nvSpPr>
      <xdr:spPr>
        <a:xfrm>
          <a:off x="133236" y="110752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130503</xdr:rowOff>
    </xdr:from>
    <xdr:to>
      <xdr:col>4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22</xdr:row>
      <xdr:rowOff>35788</xdr:rowOff>
    </xdr:from>
    <xdr:to>
      <xdr:col>0</xdr:col>
      <xdr:colOff>782191</xdr:colOff>
      <xdr:row>22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6E1397-324F-1447-B214-324DC3FD8C4B}"/>
            </a:ext>
          </a:extLst>
        </xdr:cNvPr>
        <xdr:cNvSpPr/>
      </xdr:nvSpPr>
      <xdr:spPr>
        <a:xfrm>
          <a:off x="133235" y="5445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47CCE1-FCEE-2747-AB56-6316E2F2AC0B}"/>
            </a:ext>
          </a:extLst>
        </xdr:cNvPr>
        <xdr:cNvSpPr/>
      </xdr:nvSpPr>
      <xdr:spPr>
        <a:xfrm>
          <a:off x="141112" y="3932395"/>
          <a:ext cx="648956" cy="2671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8CA345-3E92-694B-A7E9-A8A31011C2A8}"/>
            </a:ext>
          </a:extLst>
        </xdr:cNvPr>
        <xdr:cNvSpPr/>
      </xdr:nvSpPr>
      <xdr:spPr>
        <a:xfrm>
          <a:off x="141111" y="42854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16</xdr:row>
      <xdr:rowOff>28361</xdr:rowOff>
    </xdr:from>
    <xdr:to>
      <xdr:col>0</xdr:col>
      <xdr:colOff>782641</xdr:colOff>
      <xdr:row>16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8F3BF1-0790-6E4C-9CF0-D0036287898B}"/>
            </a:ext>
          </a:extLst>
        </xdr:cNvPr>
        <xdr:cNvSpPr/>
      </xdr:nvSpPr>
      <xdr:spPr>
        <a:xfrm>
          <a:off x="133685" y="4562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18</xdr:row>
      <xdr:rowOff>28361</xdr:rowOff>
    </xdr:from>
    <xdr:to>
      <xdr:col>0</xdr:col>
      <xdr:colOff>789618</xdr:colOff>
      <xdr:row>18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D99BBA-1C6D-A543-A220-56FF0C16B3A8}"/>
            </a:ext>
          </a:extLst>
        </xdr:cNvPr>
        <xdr:cNvSpPr/>
      </xdr:nvSpPr>
      <xdr:spPr>
        <a:xfrm>
          <a:off x="140662" y="4854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20</xdr:row>
      <xdr:rowOff>28361</xdr:rowOff>
    </xdr:from>
    <xdr:to>
      <xdr:col>0</xdr:col>
      <xdr:colOff>782191</xdr:colOff>
      <xdr:row>20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6228FB-2F65-B94F-8AAB-DC0D8A73BED0}"/>
            </a:ext>
          </a:extLst>
        </xdr:cNvPr>
        <xdr:cNvSpPr/>
      </xdr:nvSpPr>
      <xdr:spPr>
        <a:xfrm>
          <a:off x="133235" y="5146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23</xdr:row>
      <xdr:rowOff>35787</xdr:rowOff>
    </xdr:from>
    <xdr:to>
      <xdr:col>0</xdr:col>
      <xdr:colOff>774764</xdr:colOff>
      <xdr:row>23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22281E8-1803-7845-96A4-2F575C255FEC}"/>
            </a:ext>
          </a:extLst>
        </xdr:cNvPr>
        <xdr:cNvSpPr/>
      </xdr:nvSpPr>
      <xdr:spPr>
        <a:xfrm>
          <a:off x="125808" y="57380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24</xdr:row>
      <xdr:rowOff>28361</xdr:rowOff>
    </xdr:from>
    <xdr:to>
      <xdr:col>0</xdr:col>
      <xdr:colOff>774764</xdr:colOff>
      <xdr:row>24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65FACEC-83E2-984B-9A15-2797A18DFFB0}"/>
            </a:ext>
          </a:extLst>
        </xdr:cNvPr>
        <xdr:cNvSpPr/>
      </xdr:nvSpPr>
      <xdr:spPr>
        <a:xfrm>
          <a:off x="125808" y="6022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25</xdr:row>
      <xdr:rowOff>20934</xdr:rowOff>
    </xdr:from>
    <xdr:to>
      <xdr:col>0</xdr:col>
      <xdr:colOff>782191</xdr:colOff>
      <xdr:row>25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95433DC-85A0-3849-890F-9E0A17EFD21A}"/>
            </a:ext>
          </a:extLst>
        </xdr:cNvPr>
        <xdr:cNvSpPr/>
      </xdr:nvSpPr>
      <xdr:spPr>
        <a:xfrm>
          <a:off x="133235" y="6307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27</xdr:row>
      <xdr:rowOff>35787</xdr:rowOff>
    </xdr:from>
    <xdr:to>
      <xdr:col>0</xdr:col>
      <xdr:colOff>782192</xdr:colOff>
      <xdr:row>27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E2E4B63-5FD3-6348-9DAC-F057FBDAEDD0}"/>
            </a:ext>
          </a:extLst>
        </xdr:cNvPr>
        <xdr:cNvSpPr/>
      </xdr:nvSpPr>
      <xdr:spPr>
        <a:xfrm>
          <a:off x="133236" y="66143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28</xdr:row>
      <xdr:rowOff>43215</xdr:rowOff>
    </xdr:from>
    <xdr:to>
      <xdr:col>0</xdr:col>
      <xdr:colOff>782191</xdr:colOff>
      <xdr:row>28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7EE2134-410C-F041-9890-08CADF129484}"/>
            </a:ext>
          </a:extLst>
        </xdr:cNvPr>
        <xdr:cNvSpPr/>
      </xdr:nvSpPr>
      <xdr:spPr>
        <a:xfrm>
          <a:off x="133235" y="69139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29</xdr:row>
      <xdr:rowOff>35788</xdr:rowOff>
    </xdr:from>
    <xdr:to>
      <xdr:col>0</xdr:col>
      <xdr:colOff>782191</xdr:colOff>
      <xdr:row>29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D34FBB6-9A39-3248-9DAE-E1FE1B873273}"/>
            </a:ext>
          </a:extLst>
        </xdr:cNvPr>
        <xdr:cNvSpPr/>
      </xdr:nvSpPr>
      <xdr:spPr>
        <a:xfrm>
          <a:off x="133235" y="7198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30</xdr:row>
      <xdr:rowOff>20934</xdr:rowOff>
    </xdr:from>
    <xdr:to>
      <xdr:col>0</xdr:col>
      <xdr:colOff>774765</xdr:colOff>
      <xdr:row>30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40402DD-25D9-7444-81D5-6F2BFE711E9F}"/>
            </a:ext>
          </a:extLst>
        </xdr:cNvPr>
        <xdr:cNvSpPr/>
      </xdr:nvSpPr>
      <xdr:spPr>
        <a:xfrm>
          <a:off x="125809" y="7475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31</xdr:row>
      <xdr:rowOff>28361</xdr:rowOff>
    </xdr:from>
    <xdr:to>
      <xdr:col>0</xdr:col>
      <xdr:colOff>782191</xdr:colOff>
      <xdr:row>31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D593E2C-ACCE-6A49-BE4C-1D3DC4223DF7}"/>
            </a:ext>
          </a:extLst>
        </xdr:cNvPr>
        <xdr:cNvSpPr/>
      </xdr:nvSpPr>
      <xdr:spPr>
        <a:xfrm>
          <a:off x="133235" y="7775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32</xdr:row>
      <xdr:rowOff>35788</xdr:rowOff>
    </xdr:from>
    <xdr:to>
      <xdr:col>0</xdr:col>
      <xdr:colOff>782191</xdr:colOff>
      <xdr:row>32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D06B111-99C1-D94D-92A6-4B9F832B7C3F}"/>
            </a:ext>
          </a:extLst>
        </xdr:cNvPr>
        <xdr:cNvSpPr/>
      </xdr:nvSpPr>
      <xdr:spPr>
        <a:xfrm>
          <a:off x="133235" y="8074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33</xdr:row>
      <xdr:rowOff>35788</xdr:rowOff>
    </xdr:from>
    <xdr:to>
      <xdr:col>0</xdr:col>
      <xdr:colOff>789619</xdr:colOff>
      <xdr:row>33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ADA75CF-E6B6-9342-A2AB-251405BEC0B9}"/>
            </a:ext>
          </a:extLst>
        </xdr:cNvPr>
        <xdr:cNvSpPr/>
      </xdr:nvSpPr>
      <xdr:spPr>
        <a:xfrm>
          <a:off x="140663" y="8366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34</xdr:row>
      <xdr:rowOff>28361</xdr:rowOff>
    </xdr:from>
    <xdr:to>
      <xdr:col>0</xdr:col>
      <xdr:colOff>789618</xdr:colOff>
      <xdr:row>34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D92F1F4-946A-9F49-9E79-D4894DB9580D}"/>
            </a:ext>
          </a:extLst>
        </xdr:cNvPr>
        <xdr:cNvSpPr/>
      </xdr:nvSpPr>
      <xdr:spPr>
        <a:xfrm>
          <a:off x="140662" y="86516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35</xdr:row>
      <xdr:rowOff>28361</xdr:rowOff>
    </xdr:from>
    <xdr:to>
      <xdr:col>0</xdr:col>
      <xdr:colOff>782191</xdr:colOff>
      <xdr:row>35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E6A400C3-C356-C346-88D1-20667DF67843}"/>
            </a:ext>
          </a:extLst>
        </xdr:cNvPr>
        <xdr:cNvSpPr/>
      </xdr:nvSpPr>
      <xdr:spPr>
        <a:xfrm>
          <a:off x="133235" y="8943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36</xdr:row>
      <xdr:rowOff>35788</xdr:rowOff>
    </xdr:from>
    <xdr:to>
      <xdr:col>0</xdr:col>
      <xdr:colOff>782191</xdr:colOff>
      <xdr:row>36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9565286-B598-0E4B-A4B6-2B7EB4A7605E}"/>
            </a:ext>
          </a:extLst>
        </xdr:cNvPr>
        <xdr:cNvSpPr/>
      </xdr:nvSpPr>
      <xdr:spPr>
        <a:xfrm>
          <a:off x="133235" y="92432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37</xdr:row>
      <xdr:rowOff>35788</xdr:rowOff>
    </xdr:from>
    <xdr:to>
      <xdr:col>0</xdr:col>
      <xdr:colOff>782192</xdr:colOff>
      <xdr:row>37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360BCE5B-D59C-334F-8C5B-6539D3216072}"/>
            </a:ext>
          </a:extLst>
        </xdr:cNvPr>
        <xdr:cNvSpPr/>
      </xdr:nvSpPr>
      <xdr:spPr>
        <a:xfrm>
          <a:off x="133236" y="95353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38</xdr:row>
      <xdr:rowOff>43214</xdr:rowOff>
    </xdr:from>
    <xdr:to>
      <xdr:col>0</xdr:col>
      <xdr:colOff>782191</xdr:colOff>
      <xdr:row>38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A6EAF86F-9566-634A-9292-0CB6E0E8AACD}"/>
            </a:ext>
          </a:extLst>
        </xdr:cNvPr>
        <xdr:cNvSpPr/>
      </xdr:nvSpPr>
      <xdr:spPr>
        <a:xfrm>
          <a:off x="133235" y="98349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40</xdr:row>
      <xdr:rowOff>13507</xdr:rowOff>
    </xdr:from>
    <xdr:to>
      <xdr:col>0</xdr:col>
      <xdr:colOff>782192</xdr:colOff>
      <xdr:row>40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92630EBA-BEE3-7840-9249-770F2575B3B3}"/>
            </a:ext>
          </a:extLst>
        </xdr:cNvPr>
        <xdr:cNvSpPr/>
      </xdr:nvSpPr>
      <xdr:spPr>
        <a:xfrm>
          <a:off x="133236" y="103894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88900</xdr:colOff>
      <xdr:row>0</xdr:row>
      <xdr:rowOff>143203</xdr:rowOff>
    </xdr:from>
    <xdr:to>
      <xdr:col>4</xdr:col>
      <xdr:colOff>0</xdr:colOff>
      <xdr:row>3</xdr:row>
      <xdr:rowOff>151384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143203"/>
          <a:ext cx="1117600" cy="88448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58A822-6E43-3548-BC02-DC9C0F2DE1CF}"/>
            </a:ext>
          </a:extLst>
        </xdr:cNvPr>
        <xdr:cNvSpPr/>
      </xdr:nvSpPr>
      <xdr:spPr>
        <a:xfrm>
          <a:off x="133235" y="5293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5D9345-9B3F-3B43-9FA0-BFA151CECA60}"/>
            </a:ext>
          </a:extLst>
        </xdr:cNvPr>
        <xdr:cNvSpPr/>
      </xdr:nvSpPr>
      <xdr:spPr>
        <a:xfrm>
          <a:off x="141112" y="3894295"/>
          <a:ext cx="648956" cy="2417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60D7D6-27A4-504B-B175-00A2A212A3C0}"/>
            </a:ext>
          </a:extLst>
        </xdr:cNvPr>
        <xdr:cNvSpPr/>
      </xdr:nvSpPr>
      <xdr:spPr>
        <a:xfrm>
          <a:off x="141111" y="4183864"/>
          <a:ext cx="648956" cy="1959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1FF7C77-2E79-F344-ADD4-0C13300576E9}"/>
            </a:ext>
          </a:extLst>
        </xdr:cNvPr>
        <xdr:cNvSpPr/>
      </xdr:nvSpPr>
      <xdr:spPr>
        <a:xfrm>
          <a:off x="133685" y="4409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DBCEAC4-92C8-9D4C-895C-61A30EB0AB91}"/>
            </a:ext>
          </a:extLst>
        </xdr:cNvPr>
        <xdr:cNvSpPr/>
      </xdr:nvSpPr>
      <xdr:spPr>
        <a:xfrm>
          <a:off x="140662" y="4701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AB4F843-F06E-6C40-BE7C-22D4BA82C518}"/>
            </a:ext>
          </a:extLst>
        </xdr:cNvPr>
        <xdr:cNvSpPr/>
      </xdr:nvSpPr>
      <xdr:spPr>
        <a:xfrm>
          <a:off x="133235" y="4994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038DF6-A0A5-4047-AE3F-03F95AD8A598}"/>
            </a:ext>
          </a:extLst>
        </xdr:cNvPr>
        <xdr:cNvSpPr/>
      </xdr:nvSpPr>
      <xdr:spPr>
        <a:xfrm>
          <a:off x="125808" y="5585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CC9A7BA-E4C0-8A40-9EB4-D715332231F7}"/>
            </a:ext>
          </a:extLst>
        </xdr:cNvPr>
        <xdr:cNvSpPr/>
      </xdr:nvSpPr>
      <xdr:spPr>
        <a:xfrm>
          <a:off x="125808" y="5870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0B2D7BE-2539-304E-A707-3C886AE46C10}"/>
            </a:ext>
          </a:extLst>
        </xdr:cNvPr>
        <xdr:cNvSpPr/>
      </xdr:nvSpPr>
      <xdr:spPr>
        <a:xfrm>
          <a:off x="133235" y="6155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7988DEB-99BE-BE4E-B89D-3E60E72F4285}"/>
            </a:ext>
          </a:extLst>
        </xdr:cNvPr>
        <xdr:cNvSpPr/>
      </xdr:nvSpPr>
      <xdr:spPr>
        <a:xfrm>
          <a:off x="133236" y="6461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D093E7F-92DD-9F44-A754-525643A20DB5}"/>
            </a:ext>
          </a:extLst>
        </xdr:cNvPr>
        <xdr:cNvSpPr/>
      </xdr:nvSpPr>
      <xdr:spPr>
        <a:xfrm>
          <a:off x="133235" y="6761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2E953AB-C71D-144D-A09D-E430C5C50775}"/>
            </a:ext>
          </a:extLst>
        </xdr:cNvPr>
        <xdr:cNvSpPr/>
      </xdr:nvSpPr>
      <xdr:spPr>
        <a:xfrm>
          <a:off x="133235" y="7046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185BD27-AE6F-A74E-BC99-97A4110DC1E8}"/>
            </a:ext>
          </a:extLst>
        </xdr:cNvPr>
        <xdr:cNvSpPr/>
      </xdr:nvSpPr>
      <xdr:spPr>
        <a:xfrm>
          <a:off x="125809" y="7323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4059D19-6853-E244-A773-E11A68593F62}"/>
            </a:ext>
          </a:extLst>
        </xdr:cNvPr>
        <xdr:cNvSpPr/>
      </xdr:nvSpPr>
      <xdr:spPr>
        <a:xfrm>
          <a:off x="133235" y="7622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C8AF8D4-BCC7-964D-AEF0-CAABF27395EF}"/>
            </a:ext>
          </a:extLst>
        </xdr:cNvPr>
        <xdr:cNvSpPr/>
      </xdr:nvSpPr>
      <xdr:spPr>
        <a:xfrm>
          <a:off x="133235" y="7922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2BC62DF-28BF-C14E-8A8E-44AA5B6B9714}"/>
            </a:ext>
          </a:extLst>
        </xdr:cNvPr>
        <xdr:cNvSpPr/>
      </xdr:nvSpPr>
      <xdr:spPr>
        <a:xfrm>
          <a:off x="140663" y="8214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E3D488A-A304-444E-AE12-D3B4921845FC}"/>
            </a:ext>
          </a:extLst>
        </xdr:cNvPr>
        <xdr:cNvSpPr/>
      </xdr:nvSpPr>
      <xdr:spPr>
        <a:xfrm>
          <a:off x="140662" y="8499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296B71A-AB2D-C64A-A4CB-7037D9446B4A}"/>
            </a:ext>
          </a:extLst>
        </xdr:cNvPr>
        <xdr:cNvSpPr/>
      </xdr:nvSpPr>
      <xdr:spPr>
        <a:xfrm>
          <a:off x="133235" y="8791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79DE1ECF-4F9D-B442-B00C-B00F1CA68E26}"/>
            </a:ext>
          </a:extLst>
        </xdr:cNvPr>
        <xdr:cNvSpPr/>
      </xdr:nvSpPr>
      <xdr:spPr>
        <a:xfrm>
          <a:off x="133235" y="9090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70E3FA8-D8F8-A747-887F-5C0D2E62B6A1}"/>
            </a:ext>
          </a:extLst>
        </xdr:cNvPr>
        <xdr:cNvSpPr/>
      </xdr:nvSpPr>
      <xdr:spPr>
        <a:xfrm>
          <a:off x="133236" y="9382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9F96090-A3BB-4C49-AE81-CC2E35A8D83D}"/>
            </a:ext>
          </a:extLst>
        </xdr:cNvPr>
        <xdr:cNvSpPr/>
      </xdr:nvSpPr>
      <xdr:spPr>
        <a:xfrm>
          <a:off x="133235" y="9682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36</xdr:row>
      <xdr:rowOff>13507</xdr:rowOff>
    </xdr:from>
    <xdr:to>
      <xdr:col>0</xdr:col>
      <xdr:colOff>782192</xdr:colOff>
      <xdr:row>36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FC508B9-8D7E-C94D-B3AD-7526710E3DA8}"/>
            </a:ext>
          </a:extLst>
        </xdr:cNvPr>
        <xdr:cNvSpPr/>
      </xdr:nvSpPr>
      <xdr:spPr>
        <a:xfrm>
          <a:off x="133236" y="102370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130503</xdr:rowOff>
    </xdr:from>
    <xdr:to>
      <xdr:col>3</xdr:col>
      <xdr:colOff>1143000</xdr:colOff>
      <xdr:row>3</xdr:row>
      <xdr:rowOff>138684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30503"/>
          <a:ext cx="1117600" cy="88448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A45EC-5A91-5046-BEED-9466F5F549E9}"/>
            </a:ext>
          </a:extLst>
        </xdr:cNvPr>
        <xdr:cNvSpPr/>
      </xdr:nvSpPr>
      <xdr:spPr>
        <a:xfrm>
          <a:off x="133235" y="5357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51D418-F7F0-E04D-9028-EE5C2B2A6A4D}"/>
            </a:ext>
          </a:extLst>
        </xdr:cNvPr>
        <xdr:cNvSpPr/>
      </xdr:nvSpPr>
      <xdr:spPr>
        <a:xfrm>
          <a:off x="141112" y="3932395"/>
          <a:ext cx="648956" cy="2036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3BAD74-4285-B64E-ADF6-45E93FB6C2E6}"/>
            </a:ext>
          </a:extLst>
        </xdr:cNvPr>
        <xdr:cNvSpPr/>
      </xdr:nvSpPr>
      <xdr:spPr>
        <a:xfrm>
          <a:off x="141111" y="4183864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4B4F4C-E63B-A244-BD8C-D33B3EF9B019}"/>
            </a:ext>
          </a:extLst>
        </xdr:cNvPr>
        <xdr:cNvSpPr/>
      </xdr:nvSpPr>
      <xdr:spPr>
        <a:xfrm>
          <a:off x="133685" y="4473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F1B3FB-1A0F-7043-951A-E9173161103D}"/>
            </a:ext>
          </a:extLst>
        </xdr:cNvPr>
        <xdr:cNvSpPr/>
      </xdr:nvSpPr>
      <xdr:spPr>
        <a:xfrm>
          <a:off x="140662" y="4765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922BB4-2755-DD4E-A32E-2E0D451FC9B0}"/>
            </a:ext>
          </a:extLst>
        </xdr:cNvPr>
        <xdr:cNvSpPr/>
      </xdr:nvSpPr>
      <xdr:spPr>
        <a:xfrm>
          <a:off x="133235" y="50575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75C9D29-3B21-704C-BCC8-D8258FE7FEE2}"/>
            </a:ext>
          </a:extLst>
        </xdr:cNvPr>
        <xdr:cNvSpPr/>
      </xdr:nvSpPr>
      <xdr:spPr>
        <a:xfrm>
          <a:off x="125808" y="56491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710B503-07EF-EE43-9504-81B7B047429E}"/>
            </a:ext>
          </a:extLst>
        </xdr:cNvPr>
        <xdr:cNvSpPr/>
      </xdr:nvSpPr>
      <xdr:spPr>
        <a:xfrm>
          <a:off x="125808" y="5933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53DE7CD-8549-444E-98B6-381856A80238}"/>
            </a:ext>
          </a:extLst>
        </xdr:cNvPr>
        <xdr:cNvSpPr/>
      </xdr:nvSpPr>
      <xdr:spPr>
        <a:xfrm>
          <a:off x="133235" y="62185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137FC9C-5DBE-4A4D-B7D7-61CDE6AF0B51}"/>
            </a:ext>
          </a:extLst>
        </xdr:cNvPr>
        <xdr:cNvSpPr/>
      </xdr:nvSpPr>
      <xdr:spPr>
        <a:xfrm>
          <a:off x="133236" y="65254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25057D3-3D19-7C4E-A73C-DC397EBCC703}"/>
            </a:ext>
          </a:extLst>
        </xdr:cNvPr>
        <xdr:cNvSpPr/>
      </xdr:nvSpPr>
      <xdr:spPr>
        <a:xfrm>
          <a:off x="133235" y="68250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78C1FDA-A908-6C40-938B-11F367FC7B72}"/>
            </a:ext>
          </a:extLst>
        </xdr:cNvPr>
        <xdr:cNvSpPr/>
      </xdr:nvSpPr>
      <xdr:spPr>
        <a:xfrm>
          <a:off x="133235" y="7109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F651FEB-476E-7743-9223-DB8E5D6DEDAA}"/>
            </a:ext>
          </a:extLst>
        </xdr:cNvPr>
        <xdr:cNvSpPr/>
      </xdr:nvSpPr>
      <xdr:spPr>
        <a:xfrm>
          <a:off x="125809" y="73869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388609B-C732-5E4D-86A3-8DED40619D8A}"/>
            </a:ext>
          </a:extLst>
        </xdr:cNvPr>
        <xdr:cNvSpPr/>
      </xdr:nvSpPr>
      <xdr:spPr>
        <a:xfrm>
          <a:off x="133235" y="7686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0944F86-8AAD-714D-B905-8AE2A209E25A}"/>
            </a:ext>
          </a:extLst>
        </xdr:cNvPr>
        <xdr:cNvSpPr/>
      </xdr:nvSpPr>
      <xdr:spPr>
        <a:xfrm>
          <a:off x="133235" y="7985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4D4236F-556A-0545-B009-DA0334504F7B}"/>
            </a:ext>
          </a:extLst>
        </xdr:cNvPr>
        <xdr:cNvSpPr/>
      </xdr:nvSpPr>
      <xdr:spPr>
        <a:xfrm>
          <a:off x="140663" y="8278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5A5A836-9720-114E-B0B5-1FD6BFD3E07E}"/>
            </a:ext>
          </a:extLst>
        </xdr:cNvPr>
        <xdr:cNvSpPr/>
      </xdr:nvSpPr>
      <xdr:spPr>
        <a:xfrm>
          <a:off x="140662" y="8562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49886EA-7F8C-8E43-8DD0-E0ECA4C512D5}"/>
            </a:ext>
          </a:extLst>
        </xdr:cNvPr>
        <xdr:cNvSpPr/>
      </xdr:nvSpPr>
      <xdr:spPr>
        <a:xfrm>
          <a:off x="133235" y="8854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EF09E9C6-A5EF-7A43-897A-9E82A34A03A5}"/>
            </a:ext>
          </a:extLst>
        </xdr:cNvPr>
        <xdr:cNvSpPr/>
      </xdr:nvSpPr>
      <xdr:spPr>
        <a:xfrm>
          <a:off x="133235" y="91543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1CBED77-3997-5240-AC2E-27BA63E551C4}"/>
            </a:ext>
          </a:extLst>
        </xdr:cNvPr>
        <xdr:cNvSpPr/>
      </xdr:nvSpPr>
      <xdr:spPr>
        <a:xfrm>
          <a:off x="133236" y="9446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5078491-5380-C24B-B1BA-239B8F657016}"/>
            </a:ext>
          </a:extLst>
        </xdr:cNvPr>
        <xdr:cNvSpPr/>
      </xdr:nvSpPr>
      <xdr:spPr>
        <a:xfrm>
          <a:off x="133235" y="97460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D346AC61-75B2-9D42-B652-40C1798689BA}"/>
            </a:ext>
          </a:extLst>
        </xdr:cNvPr>
        <xdr:cNvSpPr/>
      </xdr:nvSpPr>
      <xdr:spPr>
        <a:xfrm>
          <a:off x="133236" y="103005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0</xdr:row>
      <xdr:rowOff>130503</xdr:rowOff>
    </xdr:from>
    <xdr:to>
      <xdr:col>3</xdr:col>
      <xdr:colOff>1120775</xdr:colOff>
      <xdr:row>3</xdr:row>
      <xdr:rowOff>138684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130503"/>
          <a:ext cx="1117600" cy="88448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19</xdr:row>
      <xdr:rowOff>35788</xdr:rowOff>
    </xdr:from>
    <xdr:to>
      <xdr:col>0</xdr:col>
      <xdr:colOff>782191</xdr:colOff>
      <xdr:row>19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5FEDE3-F168-0649-AC52-056F71697D68}"/>
            </a:ext>
          </a:extLst>
        </xdr:cNvPr>
        <xdr:cNvSpPr/>
      </xdr:nvSpPr>
      <xdr:spPr>
        <a:xfrm>
          <a:off x="133235" y="5357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7F6456-BDE8-E247-B51A-A7620D5D7C08}"/>
            </a:ext>
          </a:extLst>
        </xdr:cNvPr>
        <xdr:cNvSpPr/>
      </xdr:nvSpPr>
      <xdr:spPr>
        <a:xfrm>
          <a:off x="141112" y="3932395"/>
          <a:ext cx="648956" cy="2036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29F210-DB61-1A4F-81F1-931A5D7C7D7E}"/>
            </a:ext>
          </a:extLst>
        </xdr:cNvPr>
        <xdr:cNvSpPr/>
      </xdr:nvSpPr>
      <xdr:spPr>
        <a:xfrm>
          <a:off x="141111" y="41838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CFEDAC-8D4B-854F-AD96-1ABF878DBE06}"/>
            </a:ext>
          </a:extLst>
        </xdr:cNvPr>
        <xdr:cNvSpPr/>
      </xdr:nvSpPr>
      <xdr:spPr>
        <a:xfrm>
          <a:off x="133685" y="44606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AF31631-986C-5443-AC56-59B0908F830C}"/>
            </a:ext>
          </a:extLst>
        </xdr:cNvPr>
        <xdr:cNvSpPr/>
      </xdr:nvSpPr>
      <xdr:spPr>
        <a:xfrm>
          <a:off x="140662" y="4765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6E162C5-38D2-FD41-AF0A-67AF0AAF310F}"/>
            </a:ext>
          </a:extLst>
        </xdr:cNvPr>
        <xdr:cNvSpPr/>
      </xdr:nvSpPr>
      <xdr:spPr>
        <a:xfrm>
          <a:off x="133235" y="50575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20</xdr:row>
      <xdr:rowOff>35787</xdr:rowOff>
    </xdr:from>
    <xdr:to>
      <xdr:col>0</xdr:col>
      <xdr:colOff>774764</xdr:colOff>
      <xdr:row>20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338087-CB2B-1F47-B2CD-A3ED8BDA675E}"/>
            </a:ext>
          </a:extLst>
        </xdr:cNvPr>
        <xdr:cNvSpPr/>
      </xdr:nvSpPr>
      <xdr:spPr>
        <a:xfrm>
          <a:off x="125808" y="56491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21</xdr:row>
      <xdr:rowOff>28361</xdr:rowOff>
    </xdr:from>
    <xdr:to>
      <xdr:col>0</xdr:col>
      <xdr:colOff>774764</xdr:colOff>
      <xdr:row>21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2BD2ABD-EDC9-DB4D-BDB5-3009ABF77EA3}"/>
            </a:ext>
          </a:extLst>
        </xdr:cNvPr>
        <xdr:cNvSpPr/>
      </xdr:nvSpPr>
      <xdr:spPr>
        <a:xfrm>
          <a:off x="125808" y="5933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22</xdr:row>
      <xdr:rowOff>20934</xdr:rowOff>
    </xdr:from>
    <xdr:to>
      <xdr:col>0</xdr:col>
      <xdr:colOff>782191</xdr:colOff>
      <xdr:row>22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39C3D9A-B513-2B4F-9638-F4D140A7311D}"/>
            </a:ext>
          </a:extLst>
        </xdr:cNvPr>
        <xdr:cNvSpPr/>
      </xdr:nvSpPr>
      <xdr:spPr>
        <a:xfrm>
          <a:off x="133235" y="62185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23</xdr:row>
      <xdr:rowOff>35787</xdr:rowOff>
    </xdr:from>
    <xdr:to>
      <xdr:col>0</xdr:col>
      <xdr:colOff>782192</xdr:colOff>
      <xdr:row>23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1BF6ED1-E0C0-4647-ADA1-C584DCF6A0BB}"/>
            </a:ext>
          </a:extLst>
        </xdr:cNvPr>
        <xdr:cNvSpPr/>
      </xdr:nvSpPr>
      <xdr:spPr>
        <a:xfrm>
          <a:off x="133236" y="65254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24</xdr:row>
      <xdr:rowOff>43215</xdr:rowOff>
    </xdr:from>
    <xdr:to>
      <xdr:col>0</xdr:col>
      <xdr:colOff>782191</xdr:colOff>
      <xdr:row>24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B6B35B3-8FB7-A645-A951-317DBD433D90}"/>
            </a:ext>
          </a:extLst>
        </xdr:cNvPr>
        <xdr:cNvSpPr/>
      </xdr:nvSpPr>
      <xdr:spPr>
        <a:xfrm>
          <a:off x="133235" y="68250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25</xdr:row>
      <xdr:rowOff>35788</xdr:rowOff>
    </xdr:from>
    <xdr:to>
      <xdr:col>0</xdr:col>
      <xdr:colOff>782191</xdr:colOff>
      <xdr:row>25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9FF0865-67FC-9242-81B5-D89EC76C2A87}"/>
            </a:ext>
          </a:extLst>
        </xdr:cNvPr>
        <xdr:cNvSpPr/>
      </xdr:nvSpPr>
      <xdr:spPr>
        <a:xfrm>
          <a:off x="133235" y="7109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26</xdr:row>
      <xdr:rowOff>20934</xdr:rowOff>
    </xdr:from>
    <xdr:to>
      <xdr:col>0</xdr:col>
      <xdr:colOff>774765</xdr:colOff>
      <xdr:row>26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594836E-0080-D44B-AA76-1490079102C6}"/>
            </a:ext>
          </a:extLst>
        </xdr:cNvPr>
        <xdr:cNvSpPr/>
      </xdr:nvSpPr>
      <xdr:spPr>
        <a:xfrm>
          <a:off x="125809" y="73869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27</xdr:row>
      <xdr:rowOff>28361</xdr:rowOff>
    </xdr:from>
    <xdr:to>
      <xdr:col>0</xdr:col>
      <xdr:colOff>782191</xdr:colOff>
      <xdr:row>27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3D0B36A-AAB8-BC40-8E0B-4709CF24EFC0}"/>
            </a:ext>
          </a:extLst>
        </xdr:cNvPr>
        <xdr:cNvSpPr/>
      </xdr:nvSpPr>
      <xdr:spPr>
        <a:xfrm>
          <a:off x="133235" y="7686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28</xdr:row>
      <xdr:rowOff>35788</xdr:rowOff>
    </xdr:from>
    <xdr:to>
      <xdr:col>0</xdr:col>
      <xdr:colOff>782191</xdr:colOff>
      <xdr:row>28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D52A1BB-6FBE-754B-AAAD-4848816BC932}"/>
            </a:ext>
          </a:extLst>
        </xdr:cNvPr>
        <xdr:cNvSpPr/>
      </xdr:nvSpPr>
      <xdr:spPr>
        <a:xfrm>
          <a:off x="133235" y="7985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29</xdr:row>
      <xdr:rowOff>35788</xdr:rowOff>
    </xdr:from>
    <xdr:to>
      <xdr:col>0</xdr:col>
      <xdr:colOff>789619</xdr:colOff>
      <xdr:row>29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7308105-8058-F843-A5ED-8A3228EACADB}"/>
            </a:ext>
          </a:extLst>
        </xdr:cNvPr>
        <xdr:cNvSpPr/>
      </xdr:nvSpPr>
      <xdr:spPr>
        <a:xfrm>
          <a:off x="140663" y="8278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31</xdr:row>
      <xdr:rowOff>28361</xdr:rowOff>
    </xdr:from>
    <xdr:to>
      <xdr:col>0</xdr:col>
      <xdr:colOff>789618</xdr:colOff>
      <xdr:row>31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8C8F2F9-51B8-5048-A583-7615048459F9}"/>
            </a:ext>
          </a:extLst>
        </xdr:cNvPr>
        <xdr:cNvSpPr/>
      </xdr:nvSpPr>
      <xdr:spPr>
        <a:xfrm>
          <a:off x="140662" y="8562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32</xdr:row>
      <xdr:rowOff>28361</xdr:rowOff>
    </xdr:from>
    <xdr:to>
      <xdr:col>0</xdr:col>
      <xdr:colOff>782191</xdr:colOff>
      <xdr:row>32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AB7F136-2C94-D04D-BF6B-F7BB60AB8CF3}"/>
            </a:ext>
          </a:extLst>
        </xdr:cNvPr>
        <xdr:cNvSpPr/>
      </xdr:nvSpPr>
      <xdr:spPr>
        <a:xfrm>
          <a:off x="133235" y="8854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33</xdr:row>
      <xdr:rowOff>35788</xdr:rowOff>
    </xdr:from>
    <xdr:to>
      <xdr:col>0</xdr:col>
      <xdr:colOff>782191</xdr:colOff>
      <xdr:row>33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E2E5258F-0821-F445-B12E-11C1AA547949}"/>
            </a:ext>
          </a:extLst>
        </xdr:cNvPr>
        <xdr:cNvSpPr/>
      </xdr:nvSpPr>
      <xdr:spPr>
        <a:xfrm>
          <a:off x="133235" y="91543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34</xdr:row>
      <xdr:rowOff>35788</xdr:rowOff>
    </xdr:from>
    <xdr:to>
      <xdr:col>0</xdr:col>
      <xdr:colOff>782192</xdr:colOff>
      <xdr:row>34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8F8E20D2-C414-E64E-BE4B-C566D79559C2}"/>
            </a:ext>
          </a:extLst>
        </xdr:cNvPr>
        <xdr:cNvSpPr/>
      </xdr:nvSpPr>
      <xdr:spPr>
        <a:xfrm>
          <a:off x="133236" y="9446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35</xdr:row>
      <xdr:rowOff>43214</xdr:rowOff>
    </xdr:from>
    <xdr:to>
      <xdr:col>0</xdr:col>
      <xdr:colOff>782191</xdr:colOff>
      <xdr:row>35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35F6212-9D22-A54C-879B-B9EC89AE69BB}"/>
            </a:ext>
          </a:extLst>
        </xdr:cNvPr>
        <xdr:cNvSpPr/>
      </xdr:nvSpPr>
      <xdr:spPr>
        <a:xfrm>
          <a:off x="133235" y="97460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37</xdr:row>
      <xdr:rowOff>13507</xdr:rowOff>
    </xdr:from>
    <xdr:to>
      <xdr:col>0</xdr:col>
      <xdr:colOff>782192</xdr:colOff>
      <xdr:row>37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4E93C5C8-D7D7-4545-A43E-D53067B17131}"/>
            </a:ext>
          </a:extLst>
        </xdr:cNvPr>
        <xdr:cNvSpPr/>
      </xdr:nvSpPr>
      <xdr:spPr>
        <a:xfrm>
          <a:off x="133236" y="103005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0</xdr:row>
      <xdr:rowOff>190500</xdr:rowOff>
    </xdr:from>
    <xdr:to>
      <xdr:col>4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8" name="Rectángulo redondead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2F32FB-88DE-5842-B0BD-A49E093CB275}"/>
            </a:ext>
          </a:extLst>
        </xdr:cNvPr>
        <xdr:cNvSpPr/>
      </xdr:nvSpPr>
      <xdr:spPr>
        <a:xfrm>
          <a:off x="133235" y="5672806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9" name="Rectángulo redondeado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31FFDE-D0B9-7245-88DB-4382CE1A1F13}"/>
            </a:ext>
          </a:extLst>
        </xdr:cNvPr>
        <xdr:cNvSpPr/>
      </xdr:nvSpPr>
      <xdr:spPr>
        <a:xfrm>
          <a:off x="141112" y="3817427"/>
          <a:ext cx="648956" cy="264716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30" name="Rectángulo redondeado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5F00072-41C1-8A41-BB00-23BDBD20364E}"/>
            </a:ext>
          </a:extLst>
        </xdr:cNvPr>
        <xdr:cNvSpPr/>
      </xdr:nvSpPr>
      <xdr:spPr>
        <a:xfrm>
          <a:off x="141111" y="416559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31" name="Rectángulo redondeado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AD1327-5FBF-CE42-A3E9-BADDBDA00838}"/>
            </a:ext>
          </a:extLst>
        </xdr:cNvPr>
        <xdr:cNvSpPr/>
      </xdr:nvSpPr>
      <xdr:spPr>
        <a:xfrm>
          <a:off x="133685" y="4529063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E5CB2B-EB91-EB42-A06F-4309E7E56C25}"/>
            </a:ext>
          </a:extLst>
        </xdr:cNvPr>
        <xdr:cNvSpPr/>
      </xdr:nvSpPr>
      <xdr:spPr>
        <a:xfrm>
          <a:off x="140662" y="4907835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3" name="Rectángulo redondeado 3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8D73853-1B94-9244-83C2-0D4EA95B2C02}"/>
            </a:ext>
          </a:extLst>
        </xdr:cNvPr>
        <xdr:cNvSpPr/>
      </xdr:nvSpPr>
      <xdr:spPr>
        <a:xfrm>
          <a:off x="133235" y="52866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53C9AD9-6D0C-5248-88C8-9556F4FBA678}"/>
            </a:ext>
          </a:extLst>
        </xdr:cNvPr>
        <xdr:cNvSpPr/>
      </xdr:nvSpPr>
      <xdr:spPr>
        <a:xfrm>
          <a:off x="125808" y="6051576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5" name="Rectángulo redondeado 3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F46484C-0244-754C-96FF-85C9A57E4FF3}"/>
            </a:ext>
          </a:extLst>
        </xdr:cNvPr>
        <xdr:cNvSpPr/>
      </xdr:nvSpPr>
      <xdr:spPr>
        <a:xfrm>
          <a:off x="125808" y="6422922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6" name="Rectángulo redondeado 3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FCE5B2E-2A33-964D-B444-7620C746B8C7}"/>
            </a:ext>
          </a:extLst>
        </xdr:cNvPr>
        <xdr:cNvSpPr/>
      </xdr:nvSpPr>
      <xdr:spPr>
        <a:xfrm>
          <a:off x="133235" y="679426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7" name="Rectángulo redondeado 3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B187FBF-8FC6-9A41-9A9C-C500F759F2D1}"/>
            </a:ext>
          </a:extLst>
        </xdr:cNvPr>
        <xdr:cNvSpPr/>
      </xdr:nvSpPr>
      <xdr:spPr>
        <a:xfrm>
          <a:off x="133236" y="7187892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8" name="Rectángulo redondeado 3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7EE90E7-FE53-5D4B-9D2D-68F93715188A}"/>
            </a:ext>
          </a:extLst>
        </xdr:cNvPr>
        <xdr:cNvSpPr/>
      </xdr:nvSpPr>
      <xdr:spPr>
        <a:xfrm>
          <a:off x="133235" y="7574092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0791E6C-D56F-1E41-83CA-DF2701C632AC}"/>
            </a:ext>
          </a:extLst>
        </xdr:cNvPr>
        <xdr:cNvSpPr/>
      </xdr:nvSpPr>
      <xdr:spPr>
        <a:xfrm>
          <a:off x="133235" y="794543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40" name="Rectángulo redondeado 3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33B87C9-F3C2-8A4E-A20B-2132051C0AD7}"/>
            </a:ext>
          </a:extLst>
        </xdr:cNvPr>
        <xdr:cNvSpPr/>
      </xdr:nvSpPr>
      <xdr:spPr>
        <a:xfrm>
          <a:off x="125809" y="8309355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211009A-48F5-E64A-B335-7508E4A3E564}"/>
            </a:ext>
          </a:extLst>
        </xdr:cNvPr>
        <xdr:cNvSpPr/>
      </xdr:nvSpPr>
      <xdr:spPr>
        <a:xfrm>
          <a:off x="133235" y="869555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42" name="Rectángulo redondeado 4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14EFB86-D8BC-334F-A6D2-8559743062B2}"/>
            </a:ext>
          </a:extLst>
        </xdr:cNvPr>
        <xdr:cNvSpPr/>
      </xdr:nvSpPr>
      <xdr:spPr>
        <a:xfrm>
          <a:off x="133235" y="9081753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51F8274-2CF2-9F40-9726-E2DB0594F87E}"/>
            </a:ext>
          </a:extLst>
        </xdr:cNvPr>
        <xdr:cNvSpPr/>
      </xdr:nvSpPr>
      <xdr:spPr>
        <a:xfrm>
          <a:off x="140663" y="9460525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4" name="Rectángulo redondeado 4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FDC89F3-7F49-0741-BDF3-76677F795DFD}"/>
            </a:ext>
          </a:extLst>
        </xdr:cNvPr>
        <xdr:cNvSpPr/>
      </xdr:nvSpPr>
      <xdr:spPr>
        <a:xfrm>
          <a:off x="140662" y="9831870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5" name="Rectángulo redondeado 4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024E1CD-724A-B34D-A54C-8CC806267945}"/>
            </a:ext>
          </a:extLst>
        </xdr:cNvPr>
        <xdr:cNvSpPr/>
      </xdr:nvSpPr>
      <xdr:spPr>
        <a:xfrm>
          <a:off x="133235" y="10210642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6" name="Rectángulo redondeado 45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94D8F69-CB0E-A248-9476-AFF3278CB847}"/>
            </a:ext>
          </a:extLst>
        </xdr:cNvPr>
        <xdr:cNvSpPr/>
      </xdr:nvSpPr>
      <xdr:spPr>
        <a:xfrm>
          <a:off x="133235" y="1059684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7" name="Rectángulo redondeado 4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1E8B69C-E0FC-8F45-A868-79D6098184C4}"/>
            </a:ext>
          </a:extLst>
        </xdr:cNvPr>
        <xdr:cNvSpPr/>
      </xdr:nvSpPr>
      <xdr:spPr>
        <a:xfrm>
          <a:off x="133236" y="10975613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8" name="Rectángulo redondeado 47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DF3B8B0-8A0D-8A48-9732-579454552C7D}"/>
            </a:ext>
          </a:extLst>
        </xdr:cNvPr>
        <xdr:cNvSpPr/>
      </xdr:nvSpPr>
      <xdr:spPr>
        <a:xfrm>
          <a:off x="133235" y="11361810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9" name="Rectángulo redondeado 48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8A516B95-1144-F449-849F-F7899BB1EB2B}"/>
            </a:ext>
          </a:extLst>
        </xdr:cNvPr>
        <xdr:cNvSpPr/>
      </xdr:nvSpPr>
      <xdr:spPr>
        <a:xfrm>
          <a:off x="133236" y="1208964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53772</xdr:colOff>
      <xdr:row>0</xdr:row>
      <xdr:rowOff>131314</xdr:rowOff>
    </xdr:from>
    <xdr:to>
      <xdr:col>3</xdr:col>
      <xdr:colOff>1157793</xdr:colOff>
      <xdr:row>3</xdr:row>
      <xdr:rowOff>139495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1B6F91-AC5D-D34B-AF24-73DD17C4F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472" y="131314"/>
          <a:ext cx="1113546" cy="88448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BB8A43-71D4-B84E-A080-76B07435316C}"/>
            </a:ext>
          </a:extLst>
        </xdr:cNvPr>
        <xdr:cNvSpPr/>
      </xdr:nvSpPr>
      <xdr:spPr>
        <a:xfrm>
          <a:off x="133235" y="5293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AA9080-07AB-2944-8FA6-F0EFD5F463AB}"/>
            </a:ext>
          </a:extLst>
        </xdr:cNvPr>
        <xdr:cNvSpPr/>
      </xdr:nvSpPr>
      <xdr:spPr>
        <a:xfrm>
          <a:off x="141112" y="3894295"/>
          <a:ext cx="648956" cy="2417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1737D6-4B09-0D43-9752-816DA6C8A012}"/>
            </a:ext>
          </a:extLst>
        </xdr:cNvPr>
        <xdr:cNvSpPr/>
      </xdr:nvSpPr>
      <xdr:spPr>
        <a:xfrm>
          <a:off x="141111" y="4183864"/>
          <a:ext cx="648956" cy="1959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0F7380-949A-8647-AD91-A2D6F9CEDFE2}"/>
            </a:ext>
          </a:extLst>
        </xdr:cNvPr>
        <xdr:cNvSpPr/>
      </xdr:nvSpPr>
      <xdr:spPr>
        <a:xfrm>
          <a:off x="133685" y="4409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CE4D6A-48D5-BE4D-84CB-FCEB82BCB8A4}"/>
            </a:ext>
          </a:extLst>
        </xdr:cNvPr>
        <xdr:cNvSpPr/>
      </xdr:nvSpPr>
      <xdr:spPr>
        <a:xfrm>
          <a:off x="140662" y="4701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04E48FA-633D-EC40-97EA-B13E786B153D}"/>
            </a:ext>
          </a:extLst>
        </xdr:cNvPr>
        <xdr:cNvSpPr/>
      </xdr:nvSpPr>
      <xdr:spPr>
        <a:xfrm>
          <a:off x="133235" y="4994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20</xdr:row>
      <xdr:rowOff>35787</xdr:rowOff>
    </xdr:from>
    <xdr:to>
      <xdr:col>0</xdr:col>
      <xdr:colOff>774764</xdr:colOff>
      <xdr:row>20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C3077AE-CE49-6C4D-B6FE-A81B32EF78D1}"/>
            </a:ext>
          </a:extLst>
        </xdr:cNvPr>
        <xdr:cNvSpPr/>
      </xdr:nvSpPr>
      <xdr:spPr>
        <a:xfrm>
          <a:off x="125808" y="5585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21</xdr:row>
      <xdr:rowOff>28361</xdr:rowOff>
    </xdr:from>
    <xdr:to>
      <xdr:col>0</xdr:col>
      <xdr:colOff>774764</xdr:colOff>
      <xdr:row>21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EFF1FCE-55E4-4047-9C69-0C14B105E87D}"/>
            </a:ext>
          </a:extLst>
        </xdr:cNvPr>
        <xdr:cNvSpPr/>
      </xdr:nvSpPr>
      <xdr:spPr>
        <a:xfrm>
          <a:off x="125808" y="5870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22</xdr:row>
      <xdr:rowOff>20934</xdr:rowOff>
    </xdr:from>
    <xdr:to>
      <xdr:col>0</xdr:col>
      <xdr:colOff>782191</xdr:colOff>
      <xdr:row>22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B41F25B-C223-F24F-A41D-DABBADDD77D6}"/>
            </a:ext>
          </a:extLst>
        </xdr:cNvPr>
        <xdr:cNvSpPr/>
      </xdr:nvSpPr>
      <xdr:spPr>
        <a:xfrm>
          <a:off x="133235" y="6155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23</xdr:row>
      <xdr:rowOff>35787</xdr:rowOff>
    </xdr:from>
    <xdr:to>
      <xdr:col>0</xdr:col>
      <xdr:colOff>782192</xdr:colOff>
      <xdr:row>23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E19B325-CE75-584C-81BF-82EDD0A1D3A8}"/>
            </a:ext>
          </a:extLst>
        </xdr:cNvPr>
        <xdr:cNvSpPr/>
      </xdr:nvSpPr>
      <xdr:spPr>
        <a:xfrm>
          <a:off x="133236" y="6461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24</xdr:row>
      <xdr:rowOff>43215</xdr:rowOff>
    </xdr:from>
    <xdr:to>
      <xdr:col>0</xdr:col>
      <xdr:colOff>782191</xdr:colOff>
      <xdr:row>24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DD41D2F-7423-E845-A30C-E07705CB0904}"/>
            </a:ext>
          </a:extLst>
        </xdr:cNvPr>
        <xdr:cNvSpPr/>
      </xdr:nvSpPr>
      <xdr:spPr>
        <a:xfrm>
          <a:off x="133235" y="6761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25</xdr:row>
      <xdr:rowOff>35788</xdr:rowOff>
    </xdr:from>
    <xdr:to>
      <xdr:col>0</xdr:col>
      <xdr:colOff>782191</xdr:colOff>
      <xdr:row>25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02343A9-CBA7-6749-B89C-13D49A0ECD94}"/>
            </a:ext>
          </a:extLst>
        </xdr:cNvPr>
        <xdr:cNvSpPr/>
      </xdr:nvSpPr>
      <xdr:spPr>
        <a:xfrm>
          <a:off x="133235" y="7046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26</xdr:row>
      <xdr:rowOff>20934</xdr:rowOff>
    </xdr:from>
    <xdr:to>
      <xdr:col>0</xdr:col>
      <xdr:colOff>774765</xdr:colOff>
      <xdr:row>26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C372C52-81BA-3647-A173-8717199F5113}"/>
            </a:ext>
          </a:extLst>
        </xdr:cNvPr>
        <xdr:cNvSpPr/>
      </xdr:nvSpPr>
      <xdr:spPr>
        <a:xfrm>
          <a:off x="125809" y="7323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27</xdr:row>
      <xdr:rowOff>28361</xdr:rowOff>
    </xdr:from>
    <xdr:to>
      <xdr:col>0</xdr:col>
      <xdr:colOff>782191</xdr:colOff>
      <xdr:row>27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320A799-A3B6-7247-A36E-6BA89BA77531}"/>
            </a:ext>
          </a:extLst>
        </xdr:cNvPr>
        <xdr:cNvSpPr/>
      </xdr:nvSpPr>
      <xdr:spPr>
        <a:xfrm>
          <a:off x="133235" y="7622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29</xdr:row>
      <xdr:rowOff>35788</xdr:rowOff>
    </xdr:from>
    <xdr:to>
      <xdr:col>0</xdr:col>
      <xdr:colOff>782191</xdr:colOff>
      <xdr:row>29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1384864-D59A-4B4B-8198-458E02F2CB1B}"/>
            </a:ext>
          </a:extLst>
        </xdr:cNvPr>
        <xdr:cNvSpPr/>
      </xdr:nvSpPr>
      <xdr:spPr>
        <a:xfrm>
          <a:off x="133235" y="7922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30</xdr:row>
      <xdr:rowOff>35788</xdr:rowOff>
    </xdr:from>
    <xdr:to>
      <xdr:col>0</xdr:col>
      <xdr:colOff>789619</xdr:colOff>
      <xdr:row>30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D4CDF55-3A9D-AA43-BD54-3729302ECD7A}"/>
            </a:ext>
          </a:extLst>
        </xdr:cNvPr>
        <xdr:cNvSpPr/>
      </xdr:nvSpPr>
      <xdr:spPr>
        <a:xfrm>
          <a:off x="140663" y="8214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31</xdr:row>
      <xdr:rowOff>28361</xdr:rowOff>
    </xdr:from>
    <xdr:to>
      <xdr:col>0</xdr:col>
      <xdr:colOff>789618</xdr:colOff>
      <xdr:row>31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C56029B-28E2-2549-ACA5-33C228EB6F69}"/>
            </a:ext>
          </a:extLst>
        </xdr:cNvPr>
        <xdr:cNvSpPr/>
      </xdr:nvSpPr>
      <xdr:spPr>
        <a:xfrm>
          <a:off x="140662" y="8499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32</xdr:row>
      <xdr:rowOff>28361</xdr:rowOff>
    </xdr:from>
    <xdr:to>
      <xdr:col>0</xdr:col>
      <xdr:colOff>782191</xdr:colOff>
      <xdr:row>32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C436EDB-1FE5-B04B-AE2B-D611917523E3}"/>
            </a:ext>
          </a:extLst>
        </xdr:cNvPr>
        <xdr:cNvSpPr/>
      </xdr:nvSpPr>
      <xdr:spPr>
        <a:xfrm>
          <a:off x="133235" y="8791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33</xdr:row>
      <xdr:rowOff>35788</xdr:rowOff>
    </xdr:from>
    <xdr:to>
      <xdr:col>0</xdr:col>
      <xdr:colOff>782191</xdr:colOff>
      <xdr:row>33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EB3B7C18-F816-1142-8370-7EACFC5EF002}"/>
            </a:ext>
          </a:extLst>
        </xdr:cNvPr>
        <xdr:cNvSpPr/>
      </xdr:nvSpPr>
      <xdr:spPr>
        <a:xfrm>
          <a:off x="133235" y="9090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34</xdr:row>
      <xdr:rowOff>35788</xdr:rowOff>
    </xdr:from>
    <xdr:to>
      <xdr:col>0</xdr:col>
      <xdr:colOff>782192</xdr:colOff>
      <xdr:row>34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69C3187-15B8-8547-82CE-07A3070B1245}"/>
            </a:ext>
          </a:extLst>
        </xdr:cNvPr>
        <xdr:cNvSpPr/>
      </xdr:nvSpPr>
      <xdr:spPr>
        <a:xfrm>
          <a:off x="133236" y="9382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35</xdr:row>
      <xdr:rowOff>43214</xdr:rowOff>
    </xdr:from>
    <xdr:to>
      <xdr:col>0</xdr:col>
      <xdr:colOff>782191</xdr:colOff>
      <xdr:row>35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5A68839-F1DB-5145-8BC5-E646A9F5338D}"/>
            </a:ext>
          </a:extLst>
        </xdr:cNvPr>
        <xdr:cNvSpPr/>
      </xdr:nvSpPr>
      <xdr:spPr>
        <a:xfrm>
          <a:off x="133235" y="9682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37</xdr:row>
      <xdr:rowOff>13507</xdr:rowOff>
    </xdr:from>
    <xdr:to>
      <xdr:col>0</xdr:col>
      <xdr:colOff>782192</xdr:colOff>
      <xdr:row>37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57095D84-BC8E-6B48-80F3-98F547677BCF}"/>
            </a:ext>
          </a:extLst>
        </xdr:cNvPr>
        <xdr:cNvSpPr/>
      </xdr:nvSpPr>
      <xdr:spPr>
        <a:xfrm>
          <a:off x="133236" y="102370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117803</xdr:rowOff>
    </xdr:from>
    <xdr:to>
      <xdr:col>3</xdr:col>
      <xdr:colOff>1104900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117803"/>
          <a:ext cx="1117600" cy="88448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20</xdr:row>
      <xdr:rowOff>35788</xdr:rowOff>
    </xdr:from>
    <xdr:to>
      <xdr:col>0</xdr:col>
      <xdr:colOff>782191</xdr:colOff>
      <xdr:row>20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1C7AD0-9A13-A548-9DC6-FE2F1FE00F8F}"/>
            </a:ext>
          </a:extLst>
        </xdr:cNvPr>
        <xdr:cNvSpPr/>
      </xdr:nvSpPr>
      <xdr:spPr>
        <a:xfrm>
          <a:off x="133235" y="5293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F96D26-93D5-BC43-9E28-49F4868302D2}"/>
            </a:ext>
          </a:extLst>
        </xdr:cNvPr>
        <xdr:cNvSpPr/>
      </xdr:nvSpPr>
      <xdr:spPr>
        <a:xfrm>
          <a:off x="141112" y="3894295"/>
          <a:ext cx="648956" cy="2417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15</xdr:row>
      <xdr:rowOff>43664</xdr:rowOff>
    </xdr:from>
    <xdr:to>
      <xdr:col>0</xdr:col>
      <xdr:colOff>790067</xdr:colOff>
      <xdr:row>15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74C421-D14B-774B-A6B8-C65D74B607BA}"/>
            </a:ext>
          </a:extLst>
        </xdr:cNvPr>
        <xdr:cNvSpPr/>
      </xdr:nvSpPr>
      <xdr:spPr>
        <a:xfrm>
          <a:off x="141111" y="4183864"/>
          <a:ext cx="648956" cy="1959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16</xdr:row>
      <xdr:rowOff>28361</xdr:rowOff>
    </xdr:from>
    <xdr:to>
      <xdr:col>0</xdr:col>
      <xdr:colOff>782641</xdr:colOff>
      <xdr:row>16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1BACC6-83F2-AA4D-B582-91510EA7013D}"/>
            </a:ext>
          </a:extLst>
        </xdr:cNvPr>
        <xdr:cNvSpPr/>
      </xdr:nvSpPr>
      <xdr:spPr>
        <a:xfrm>
          <a:off x="133685" y="4409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17</xdr:row>
      <xdr:rowOff>28361</xdr:rowOff>
    </xdr:from>
    <xdr:to>
      <xdr:col>0</xdr:col>
      <xdr:colOff>789618</xdr:colOff>
      <xdr:row>17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4971CC-5106-B340-982F-E9A4E5153484}"/>
            </a:ext>
          </a:extLst>
        </xdr:cNvPr>
        <xdr:cNvSpPr/>
      </xdr:nvSpPr>
      <xdr:spPr>
        <a:xfrm>
          <a:off x="140662" y="4701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18</xdr:row>
      <xdr:rowOff>28361</xdr:rowOff>
    </xdr:from>
    <xdr:to>
      <xdr:col>0</xdr:col>
      <xdr:colOff>782191</xdr:colOff>
      <xdr:row>18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89C7AB-941D-2C49-BFE4-0ACD2150847A}"/>
            </a:ext>
          </a:extLst>
        </xdr:cNvPr>
        <xdr:cNvSpPr/>
      </xdr:nvSpPr>
      <xdr:spPr>
        <a:xfrm>
          <a:off x="133235" y="4994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22</xdr:row>
      <xdr:rowOff>35787</xdr:rowOff>
    </xdr:from>
    <xdr:to>
      <xdr:col>0</xdr:col>
      <xdr:colOff>774764</xdr:colOff>
      <xdr:row>22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2FF8504-9233-B342-8BC4-788E27260A95}"/>
            </a:ext>
          </a:extLst>
        </xdr:cNvPr>
        <xdr:cNvSpPr/>
      </xdr:nvSpPr>
      <xdr:spPr>
        <a:xfrm>
          <a:off x="125808" y="5585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23</xdr:row>
      <xdr:rowOff>28361</xdr:rowOff>
    </xdr:from>
    <xdr:to>
      <xdr:col>0</xdr:col>
      <xdr:colOff>774764</xdr:colOff>
      <xdr:row>23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4923FF0-A9A4-334E-84F1-F352DA8FDE03}"/>
            </a:ext>
          </a:extLst>
        </xdr:cNvPr>
        <xdr:cNvSpPr/>
      </xdr:nvSpPr>
      <xdr:spPr>
        <a:xfrm>
          <a:off x="125808" y="5870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24</xdr:row>
      <xdr:rowOff>20934</xdr:rowOff>
    </xdr:from>
    <xdr:to>
      <xdr:col>0</xdr:col>
      <xdr:colOff>782191</xdr:colOff>
      <xdr:row>24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A652288-D9D5-544B-A946-ED5FD37FE4DB}"/>
            </a:ext>
          </a:extLst>
        </xdr:cNvPr>
        <xdr:cNvSpPr/>
      </xdr:nvSpPr>
      <xdr:spPr>
        <a:xfrm>
          <a:off x="133235" y="6155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25</xdr:row>
      <xdr:rowOff>35787</xdr:rowOff>
    </xdr:from>
    <xdr:to>
      <xdr:col>0</xdr:col>
      <xdr:colOff>782192</xdr:colOff>
      <xdr:row>25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39C5AEF-0076-5F42-8DEE-913F6206B997}"/>
            </a:ext>
          </a:extLst>
        </xdr:cNvPr>
        <xdr:cNvSpPr/>
      </xdr:nvSpPr>
      <xdr:spPr>
        <a:xfrm>
          <a:off x="133236" y="6461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26</xdr:row>
      <xdr:rowOff>43215</xdr:rowOff>
    </xdr:from>
    <xdr:to>
      <xdr:col>0</xdr:col>
      <xdr:colOff>782191</xdr:colOff>
      <xdr:row>26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B2A4A81-6404-2C4D-9CB9-725E8D5250E3}"/>
            </a:ext>
          </a:extLst>
        </xdr:cNvPr>
        <xdr:cNvSpPr/>
      </xdr:nvSpPr>
      <xdr:spPr>
        <a:xfrm>
          <a:off x="133235" y="6761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4BDAFEE-2878-AE46-A170-688E56CDA63C}"/>
            </a:ext>
          </a:extLst>
        </xdr:cNvPr>
        <xdr:cNvSpPr/>
      </xdr:nvSpPr>
      <xdr:spPr>
        <a:xfrm>
          <a:off x="133235" y="7046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28</xdr:row>
      <xdr:rowOff>20934</xdr:rowOff>
    </xdr:from>
    <xdr:to>
      <xdr:col>0</xdr:col>
      <xdr:colOff>774765</xdr:colOff>
      <xdr:row>28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8E0AE65-DEA7-EC44-BEC1-B500949510C2}"/>
            </a:ext>
          </a:extLst>
        </xdr:cNvPr>
        <xdr:cNvSpPr/>
      </xdr:nvSpPr>
      <xdr:spPr>
        <a:xfrm>
          <a:off x="125809" y="7323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29</xdr:row>
      <xdr:rowOff>28361</xdr:rowOff>
    </xdr:from>
    <xdr:to>
      <xdr:col>0</xdr:col>
      <xdr:colOff>782191</xdr:colOff>
      <xdr:row>29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0876F1C-243F-BF43-AC5E-4AD3B81D010A}"/>
            </a:ext>
          </a:extLst>
        </xdr:cNvPr>
        <xdr:cNvSpPr/>
      </xdr:nvSpPr>
      <xdr:spPr>
        <a:xfrm>
          <a:off x="133235" y="7622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30</xdr:row>
      <xdr:rowOff>35788</xdr:rowOff>
    </xdr:from>
    <xdr:to>
      <xdr:col>0</xdr:col>
      <xdr:colOff>782191</xdr:colOff>
      <xdr:row>30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AAF3E8C-795E-454D-917D-050308634DC9}"/>
            </a:ext>
          </a:extLst>
        </xdr:cNvPr>
        <xdr:cNvSpPr/>
      </xdr:nvSpPr>
      <xdr:spPr>
        <a:xfrm>
          <a:off x="133235" y="7922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32</xdr:row>
      <xdr:rowOff>35788</xdr:rowOff>
    </xdr:from>
    <xdr:to>
      <xdr:col>0</xdr:col>
      <xdr:colOff>789619</xdr:colOff>
      <xdr:row>32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847616F-DF71-2A49-A730-3F438659885A}"/>
            </a:ext>
          </a:extLst>
        </xdr:cNvPr>
        <xdr:cNvSpPr/>
      </xdr:nvSpPr>
      <xdr:spPr>
        <a:xfrm>
          <a:off x="140663" y="8214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33</xdr:row>
      <xdr:rowOff>28361</xdr:rowOff>
    </xdr:from>
    <xdr:to>
      <xdr:col>0</xdr:col>
      <xdr:colOff>789618</xdr:colOff>
      <xdr:row>33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E036A1D-3D7F-5446-B1C7-CADAF7018FB7}"/>
            </a:ext>
          </a:extLst>
        </xdr:cNvPr>
        <xdr:cNvSpPr/>
      </xdr:nvSpPr>
      <xdr:spPr>
        <a:xfrm>
          <a:off x="140662" y="8499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34</xdr:row>
      <xdr:rowOff>28361</xdr:rowOff>
    </xdr:from>
    <xdr:to>
      <xdr:col>0</xdr:col>
      <xdr:colOff>782191</xdr:colOff>
      <xdr:row>34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6F09578-F497-7746-89BD-E30C4E357987}"/>
            </a:ext>
          </a:extLst>
        </xdr:cNvPr>
        <xdr:cNvSpPr/>
      </xdr:nvSpPr>
      <xdr:spPr>
        <a:xfrm>
          <a:off x="133235" y="8791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35</xdr:row>
      <xdr:rowOff>35788</xdr:rowOff>
    </xdr:from>
    <xdr:to>
      <xdr:col>0</xdr:col>
      <xdr:colOff>782191</xdr:colOff>
      <xdr:row>35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27DF905C-88C2-144E-A365-FC41A41EBF44}"/>
            </a:ext>
          </a:extLst>
        </xdr:cNvPr>
        <xdr:cNvSpPr/>
      </xdr:nvSpPr>
      <xdr:spPr>
        <a:xfrm>
          <a:off x="133235" y="9090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36</xdr:row>
      <xdr:rowOff>35788</xdr:rowOff>
    </xdr:from>
    <xdr:to>
      <xdr:col>0</xdr:col>
      <xdr:colOff>782192</xdr:colOff>
      <xdr:row>36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E2FE824-5FD1-724A-90B6-DFC3ED0AC545}"/>
            </a:ext>
          </a:extLst>
        </xdr:cNvPr>
        <xdr:cNvSpPr/>
      </xdr:nvSpPr>
      <xdr:spPr>
        <a:xfrm>
          <a:off x="133236" y="9382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37</xdr:row>
      <xdr:rowOff>43214</xdr:rowOff>
    </xdr:from>
    <xdr:to>
      <xdr:col>0</xdr:col>
      <xdr:colOff>782191</xdr:colOff>
      <xdr:row>37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D135F6C1-809D-0C43-9DFF-CF723A2D8C43}"/>
            </a:ext>
          </a:extLst>
        </xdr:cNvPr>
        <xdr:cNvSpPr/>
      </xdr:nvSpPr>
      <xdr:spPr>
        <a:xfrm>
          <a:off x="133235" y="9682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39</xdr:row>
      <xdr:rowOff>13507</xdr:rowOff>
    </xdr:from>
    <xdr:to>
      <xdr:col>0</xdr:col>
      <xdr:colOff>782192</xdr:colOff>
      <xdr:row>39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FCB9CF4-57BF-C041-95B4-1410FD1ADFDB}"/>
            </a:ext>
          </a:extLst>
        </xdr:cNvPr>
        <xdr:cNvSpPr/>
      </xdr:nvSpPr>
      <xdr:spPr>
        <a:xfrm>
          <a:off x="133236" y="102370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130503</xdr:rowOff>
    </xdr:from>
    <xdr:to>
      <xdr:col>4</xdr:col>
      <xdr:colOff>0</xdr:colOff>
      <xdr:row>3</xdr:row>
      <xdr:rowOff>138684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30503"/>
          <a:ext cx="1117600" cy="884481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19</xdr:row>
      <xdr:rowOff>35788</xdr:rowOff>
    </xdr:from>
    <xdr:to>
      <xdr:col>0</xdr:col>
      <xdr:colOff>782191</xdr:colOff>
      <xdr:row>19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A70771-092C-8842-81B2-BA405E22115B}"/>
            </a:ext>
          </a:extLst>
        </xdr:cNvPr>
        <xdr:cNvSpPr/>
      </xdr:nvSpPr>
      <xdr:spPr>
        <a:xfrm>
          <a:off x="133235" y="5293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545BDB-F633-814B-86D8-5D48A847189D}"/>
            </a:ext>
          </a:extLst>
        </xdr:cNvPr>
        <xdr:cNvSpPr/>
      </xdr:nvSpPr>
      <xdr:spPr>
        <a:xfrm>
          <a:off x="141112" y="3894295"/>
          <a:ext cx="648956" cy="2417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15</xdr:row>
      <xdr:rowOff>43664</xdr:rowOff>
    </xdr:from>
    <xdr:to>
      <xdr:col>0</xdr:col>
      <xdr:colOff>790067</xdr:colOff>
      <xdr:row>15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07221-04A6-E04D-8D5C-3CB72E8B1163}"/>
            </a:ext>
          </a:extLst>
        </xdr:cNvPr>
        <xdr:cNvSpPr/>
      </xdr:nvSpPr>
      <xdr:spPr>
        <a:xfrm>
          <a:off x="141111" y="4183864"/>
          <a:ext cx="648956" cy="1959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16</xdr:row>
      <xdr:rowOff>28361</xdr:rowOff>
    </xdr:from>
    <xdr:to>
      <xdr:col>0</xdr:col>
      <xdr:colOff>782641</xdr:colOff>
      <xdr:row>16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8FDBD41-E98E-7C4B-9D0A-0FA90C1ADB7E}"/>
            </a:ext>
          </a:extLst>
        </xdr:cNvPr>
        <xdr:cNvSpPr/>
      </xdr:nvSpPr>
      <xdr:spPr>
        <a:xfrm>
          <a:off x="133685" y="4409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17</xdr:row>
      <xdr:rowOff>28361</xdr:rowOff>
    </xdr:from>
    <xdr:to>
      <xdr:col>0</xdr:col>
      <xdr:colOff>789618</xdr:colOff>
      <xdr:row>17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C31D76-0DD2-1E4F-870F-A8598E5C3CE0}"/>
            </a:ext>
          </a:extLst>
        </xdr:cNvPr>
        <xdr:cNvSpPr/>
      </xdr:nvSpPr>
      <xdr:spPr>
        <a:xfrm>
          <a:off x="140662" y="4701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18</xdr:row>
      <xdr:rowOff>28361</xdr:rowOff>
    </xdr:from>
    <xdr:to>
      <xdr:col>0</xdr:col>
      <xdr:colOff>782191</xdr:colOff>
      <xdr:row>18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4833E1E-39E8-8F49-AE72-DB9AADD2AC12}"/>
            </a:ext>
          </a:extLst>
        </xdr:cNvPr>
        <xdr:cNvSpPr/>
      </xdr:nvSpPr>
      <xdr:spPr>
        <a:xfrm>
          <a:off x="133235" y="4994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20</xdr:row>
      <xdr:rowOff>35787</xdr:rowOff>
    </xdr:from>
    <xdr:to>
      <xdr:col>0</xdr:col>
      <xdr:colOff>774764</xdr:colOff>
      <xdr:row>20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264F981-B0C9-8648-9609-E4FAA82021FE}"/>
            </a:ext>
          </a:extLst>
        </xdr:cNvPr>
        <xdr:cNvSpPr/>
      </xdr:nvSpPr>
      <xdr:spPr>
        <a:xfrm>
          <a:off x="125808" y="55856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22</xdr:row>
      <xdr:rowOff>28361</xdr:rowOff>
    </xdr:from>
    <xdr:to>
      <xdr:col>0</xdr:col>
      <xdr:colOff>774764</xdr:colOff>
      <xdr:row>22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F2E8387-85D1-B24E-BDFA-347845F0A2C1}"/>
            </a:ext>
          </a:extLst>
        </xdr:cNvPr>
        <xdr:cNvSpPr/>
      </xdr:nvSpPr>
      <xdr:spPr>
        <a:xfrm>
          <a:off x="125808" y="5870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23</xdr:row>
      <xdr:rowOff>20934</xdr:rowOff>
    </xdr:from>
    <xdr:to>
      <xdr:col>0</xdr:col>
      <xdr:colOff>782191</xdr:colOff>
      <xdr:row>23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8A7FCC0-6A66-344F-9A89-B0BA56DD0FD0}"/>
            </a:ext>
          </a:extLst>
        </xdr:cNvPr>
        <xdr:cNvSpPr/>
      </xdr:nvSpPr>
      <xdr:spPr>
        <a:xfrm>
          <a:off x="133235" y="61550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24</xdr:row>
      <xdr:rowOff>35787</xdr:rowOff>
    </xdr:from>
    <xdr:to>
      <xdr:col>0</xdr:col>
      <xdr:colOff>782192</xdr:colOff>
      <xdr:row>24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AF86CC2-0E82-4945-ABEC-039636395D69}"/>
            </a:ext>
          </a:extLst>
        </xdr:cNvPr>
        <xdr:cNvSpPr/>
      </xdr:nvSpPr>
      <xdr:spPr>
        <a:xfrm>
          <a:off x="133236" y="64619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26</xdr:row>
      <xdr:rowOff>43215</xdr:rowOff>
    </xdr:from>
    <xdr:to>
      <xdr:col>0</xdr:col>
      <xdr:colOff>782191</xdr:colOff>
      <xdr:row>26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4BE2A82-8CD6-154A-B587-A1142745EA40}"/>
            </a:ext>
          </a:extLst>
        </xdr:cNvPr>
        <xdr:cNvSpPr/>
      </xdr:nvSpPr>
      <xdr:spPr>
        <a:xfrm>
          <a:off x="133235" y="67615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6514768-016A-3D4F-8212-293AC3A73E65}"/>
            </a:ext>
          </a:extLst>
        </xdr:cNvPr>
        <xdr:cNvSpPr/>
      </xdr:nvSpPr>
      <xdr:spPr>
        <a:xfrm>
          <a:off x="133235" y="70461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28</xdr:row>
      <xdr:rowOff>20934</xdr:rowOff>
    </xdr:from>
    <xdr:to>
      <xdr:col>0</xdr:col>
      <xdr:colOff>774765</xdr:colOff>
      <xdr:row>28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CB8BA1B-7CC8-8D4D-B92D-6AC5820032F2}"/>
            </a:ext>
          </a:extLst>
        </xdr:cNvPr>
        <xdr:cNvSpPr/>
      </xdr:nvSpPr>
      <xdr:spPr>
        <a:xfrm>
          <a:off x="125809" y="7323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29</xdr:row>
      <xdr:rowOff>28361</xdr:rowOff>
    </xdr:from>
    <xdr:to>
      <xdr:col>0</xdr:col>
      <xdr:colOff>782191</xdr:colOff>
      <xdr:row>29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2F19001-C4DD-304D-A214-FC6F17756DE5}"/>
            </a:ext>
          </a:extLst>
        </xdr:cNvPr>
        <xdr:cNvSpPr/>
      </xdr:nvSpPr>
      <xdr:spPr>
        <a:xfrm>
          <a:off x="133235" y="76229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30</xdr:row>
      <xdr:rowOff>35788</xdr:rowOff>
    </xdr:from>
    <xdr:to>
      <xdr:col>0</xdr:col>
      <xdr:colOff>782191</xdr:colOff>
      <xdr:row>30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37492249-128F-074F-BDDA-E544C259E389}"/>
            </a:ext>
          </a:extLst>
        </xdr:cNvPr>
        <xdr:cNvSpPr/>
      </xdr:nvSpPr>
      <xdr:spPr>
        <a:xfrm>
          <a:off x="133235" y="79224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32</xdr:row>
      <xdr:rowOff>35788</xdr:rowOff>
    </xdr:from>
    <xdr:to>
      <xdr:col>0</xdr:col>
      <xdr:colOff>789619</xdr:colOff>
      <xdr:row>32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61689A9-0B2B-E449-BD28-D30F7A839B9E}"/>
            </a:ext>
          </a:extLst>
        </xdr:cNvPr>
        <xdr:cNvSpPr/>
      </xdr:nvSpPr>
      <xdr:spPr>
        <a:xfrm>
          <a:off x="140663" y="8214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34</xdr:row>
      <xdr:rowOff>28361</xdr:rowOff>
    </xdr:from>
    <xdr:to>
      <xdr:col>0</xdr:col>
      <xdr:colOff>789618</xdr:colOff>
      <xdr:row>34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B3B5E02-56C1-B443-9662-0C344391294A}"/>
            </a:ext>
          </a:extLst>
        </xdr:cNvPr>
        <xdr:cNvSpPr/>
      </xdr:nvSpPr>
      <xdr:spPr>
        <a:xfrm>
          <a:off x="140662" y="8499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36</xdr:row>
      <xdr:rowOff>28361</xdr:rowOff>
    </xdr:from>
    <xdr:to>
      <xdr:col>0</xdr:col>
      <xdr:colOff>782191</xdr:colOff>
      <xdr:row>36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BF2EC0B-5CE5-2043-84CD-C5681B1F9914}"/>
            </a:ext>
          </a:extLst>
        </xdr:cNvPr>
        <xdr:cNvSpPr/>
      </xdr:nvSpPr>
      <xdr:spPr>
        <a:xfrm>
          <a:off x="133235" y="8791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37</xdr:row>
      <xdr:rowOff>35788</xdr:rowOff>
    </xdr:from>
    <xdr:to>
      <xdr:col>0</xdr:col>
      <xdr:colOff>782191</xdr:colOff>
      <xdr:row>37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424316C5-9820-D646-95FF-B2A1B1E07F65}"/>
            </a:ext>
          </a:extLst>
        </xdr:cNvPr>
        <xdr:cNvSpPr/>
      </xdr:nvSpPr>
      <xdr:spPr>
        <a:xfrm>
          <a:off x="133235" y="9090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39</xdr:row>
      <xdr:rowOff>35788</xdr:rowOff>
    </xdr:from>
    <xdr:to>
      <xdr:col>0</xdr:col>
      <xdr:colOff>782192</xdr:colOff>
      <xdr:row>39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1058C76-8B66-1D46-8583-76D2855EAFA8}"/>
            </a:ext>
          </a:extLst>
        </xdr:cNvPr>
        <xdr:cNvSpPr/>
      </xdr:nvSpPr>
      <xdr:spPr>
        <a:xfrm>
          <a:off x="133236" y="9382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40</xdr:row>
      <xdr:rowOff>43214</xdr:rowOff>
    </xdr:from>
    <xdr:to>
      <xdr:col>0</xdr:col>
      <xdr:colOff>782191</xdr:colOff>
      <xdr:row>40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9943D17-C3A5-214D-9113-897ED964290A}"/>
            </a:ext>
          </a:extLst>
        </xdr:cNvPr>
        <xdr:cNvSpPr/>
      </xdr:nvSpPr>
      <xdr:spPr>
        <a:xfrm>
          <a:off x="133235" y="96825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42</xdr:row>
      <xdr:rowOff>13507</xdr:rowOff>
    </xdr:from>
    <xdr:to>
      <xdr:col>0</xdr:col>
      <xdr:colOff>782192</xdr:colOff>
      <xdr:row>42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3ADD009-E78A-9C4A-8274-7E8FBC7A07DD}"/>
            </a:ext>
          </a:extLst>
        </xdr:cNvPr>
        <xdr:cNvSpPr/>
      </xdr:nvSpPr>
      <xdr:spPr>
        <a:xfrm>
          <a:off x="133236" y="102370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0</xdr:row>
      <xdr:rowOff>317500</xdr:rowOff>
    </xdr:from>
    <xdr:to>
      <xdr:col>2</xdr:col>
      <xdr:colOff>850900</xdr:colOff>
      <xdr:row>3</xdr:row>
      <xdr:rowOff>46281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200" y="3175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0</xdr:row>
      <xdr:rowOff>190500</xdr:rowOff>
    </xdr:from>
    <xdr:to>
      <xdr:col>4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6" name="Rectángulo redondeado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6538A1-3F16-EA45-B6EE-FA500F9B33EA}"/>
            </a:ext>
          </a:extLst>
        </xdr:cNvPr>
        <xdr:cNvSpPr/>
      </xdr:nvSpPr>
      <xdr:spPr>
        <a:xfrm>
          <a:off x="133235" y="5712688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7" name="Rectángulo redondead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9E40F6-9EE0-6D4F-B4EE-BE43F7E9A757}"/>
            </a:ext>
          </a:extLst>
        </xdr:cNvPr>
        <xdr:cNvSpPr/>
      </xdr:nvSpPr>
      <xdr:spPr>
        <a:xfrm>
          <a:off x="141112" y="3843495"/>
          <a:ext cx="648956" cy="2671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8" name="Rectángulo redondeado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02824F-482E-7445-BDC5-203CA71C718E}"/>
            </a:ext>
          </a:extLst>
        </xdr:cNvPr>
        <xdr:cNvSpPr/>
      </xdr:nvSpPr>
      <xdr:spPr>
        <a:xfrm>
          <a:off x="141111" y="419656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B5A174-2FC2-504B-9773-D16B3B38308F}"/>
            </a:ext>
          </a:extLst>
        </xdr:cNvPr>
        <xdr:cNvSpPr/>
      </xdr:nvSpPr>
      <xdr:spPr>
        <a:xfrm>
          <a:off x="133685" y="45622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266C0C-7160-2E42-BC71-37AA69D53D09}"/>
            </a:ext>
          </a:extLst>
        </xdr:cNvPr>
        <xdr:cNvSpPr/>
      </xdr:nvSpPr>
      <xdr:spPr>
        <a:xfrm>
          <a:off x="140662" y="49432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1" name="Rectángulo redondeado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A745EE-6113-1746-9F4A-05877E7DC0EB}"/>
            </a:ext>
          </a:extLst>
        </xdr:cNvPr>
        <xdr:cNvSpPr/>
      </xdr:nvSpPr>
      <xdr:spPr>
        <a:xfrm>
          <a:off x="133235" y="53242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2" name="Rectángulo redondeado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79FC55F-CFCA-EF4B-9C86-F2835F170C7D}"/>
            </a:ext>
          </a:extLst>
        </xdr:cNvPr>
        <xdr:cNvSpPr/>
      </xdr:nvSpPr>
      <xdr:spPr>
        <a:xfrm>
          <a:off x="125808" y="609368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3" name="Rectángulo redondeado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384CFA2-BC2C-C44F-AEB5-18EEC53D010A}"/>
            </a:ext>
          </a:extLst>
        </xdr:cNvPr>
        <xdr:cNvSpPr/>
      </xdr:nvSpPr>
      <xdr:spPr>
        <a:xfrm>
          <a:off x="125808" y="64672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4" name="Rectángulo redondeado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28BEBAF-36D3-2A49-B446-2AA95F276299}"/>
            </a:ext>
          </a:extLst>
        </xdr:cNvPr>
        <xdr:cNvSpPr/>
      </xdr:nvSpPr>
      <xdr:spPr>
        <a:xfrm>
          <a:off x="133235" y="6840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5" name="Rectángulo redondeado 3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5DF4BAC-4946-164E-9DAB-51A5A45F8910}"/>
            </a:ext>
          </a:extLst>
        </xdr:cNvPr>
        <xdr:cNvSpPr/>
      </xdr:nvSpPr>
      <xdr:spPr>
        <a:xfrm>
          <a:off x="133236" y="723668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6" name="Rectángulo redondeado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AF9C3EB-A0E9-BB4C-B09F-D9FCCC8744E0}"/>
            </a:ext>
          </a:extLst>
        </xdr:cNvPr>
        <xdr:cNvSpPr/>
      </xdr:nvSpPr>
      <xdr:spPr>
        <a:xfrm>
          <a:off x="133235" y="7625115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7" name="Rectángulo redondeado 3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8B3F250-0B83-264C-B991-676DEAE570C6}"/>
            </a:ext>
          </a:extLst>
        </xdr:cNvPr>
        <xdr:cNvSpPr/>
      </xdr:nvSpPr>
      <xdr:spPr>
        <a:xfrm>
          <a:off x="133235" y="7998688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8" name="Rectángulo redondeado 3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FF03C52-3BA8-CF44-8356-250AD5AF286A}"/>
            </a:ext>
          </a:extLst>
        </xdr:cNvPr>
        <xdr:cNvSpPr/>
      </xdr:nvSpPr>
      <xdr:spPr>
        <a:xfrm>
          <a:off x="125809" y="8364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9" name="Rectángulo redondeado 3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B7511B1-44DE-5E46-ACD3-3970B560E827}"/>
            </a:ext>
          </a:extLst>
        </xdr:cNvPr>
        <xdr:cNvSpPr/>
      </xdr:nvSpPr>
      <xdr:spPr>
        <a:xfrm>
          <a:off x="133235" y="87532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29247F9-C5A6-9847-94CE-2CABF9D93E5F}"/>
            </a:ext>
          </a:extLst>
        </xdr:cNvPr>
        <xdr:cNvSpPr/>
      </xdr:nvSpPr>
      <xdr:spPr>
        <a:xfrm>
          <a:off x="133235" y="9141688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1" name="Rectángulo redondeado 4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B31A20B-906D-6A4C-A3D9-41BF2F5DEBBC}"/>
            </a:ext>
          </a:extLst>
        </xdr:cNvPr>
        <xdr:cNvSpPr/>
      </xdr:nvSpPr>
      <xdr:spPr>
        <a:xfrm>
          <a:off x="140663" y="9522688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DDAC8C2-5659-2444-9D18-6615720F0921}"/>
            </a:ext>
          </a:extLst>
        </xdr:cNvPr>
        <xdr:cNvSpPr/>
      </xdr:nvSpPr>
      <xdr:spPr>
        <a:xfrm>
          <a:off x="140662" y="98962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3" name="Rectángulo redondeado 4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E6D7DC9-B07B-7147-ADA0-2FD1363972FB}"/>
            </a:ext>
          </a:extLst>
        </xdr:cNvPr>
        <xdr:cNvSpPr/>
      </xdr:nvSpPr>
      <xdr:spPr>
        <a:xfrm>
          <a:off x="133235" y="102772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2EE7FD7A-1412-1246-A89C-358EB9564B56}"/>
            </a:ext>
          </a:extLst>
        </xdr:cNvPr>
        <xdr:cNvSpPr/>
      </xdr:nvSpPr>
      <xdr:spPr>
        <a:xfrm>
          <a:off x="133235" y="10665688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5" name="Rectángulo redondeado 4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99BD41AF-107C-FD42-9726-B2A599DB36DA}"/>
            </a:ext>
          </a:extLst>
        </xdr:cNvPr>
        <xdr:cNvSpPr/>
      </xdr:nvSpPr>
      <xdr:spPr>
        <a:xfrm>
          <a:off x="133236" y="11046688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6" name="Rectángulo redondeado 4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58437-0744-994D-A795-37762317ACA6}"/>
            </a:ext>
          </a:extLst>
        </xdr:cNvPr>
        <xdr:cNvSpPr/>
      </xdr:nvSpPr>
      <xdr:spPr>
        <a:xfrm>
          <a:off x="133235" y="1143511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7" name="Rectángulo redondeado 4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4DCAC701-E7EA-D947-884C-8FAC4CE9BAFD}"/>
            </a:ext>
          </a:extLst>
        </xdr:cNvPr>
        <xdr:cNvSpPr/>
      </xdr:nvSpPr>
      <xdr:spPr>
        <a:xfrm>
          <a:off x="133236" y="121674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0</xdr:row>
      <xdr:rowOff>160021</xdr:rowOff>
    </xdr:from>
    <xdr:to>
      <xdr:col>3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8C0607-CE9A-594D-8409-49939D8AB0FF}"/>
            </a:ext>
          </a:extLst>
        </xdr:cNvPr>
        <xdr:cNvSpPr/>
      </xdr:nvSpPr>
      <xdr:spPr>
        <a:xfrm>
          <a:off x="133235" y="5357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ADFB59-47E7-FC41-AB9E-CBCEA637AFD7}"/>
            </a:ext>
          </a:extLst>
        </xdr:cNvPr>
        <xdr:cNvSpPr/>
      </xdr:nvSpPr>
      <xdr:spPr>
        <a:xfrm>
          <a:off x="141112" y="3843495"/>
          <a:ext cx="648956" cy="2671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A3DBC8-BD3F-E648-96C0-A56206AA7484}"/>
            </a:ext>
          </a:extLst>
        </xdr:cNvPr>
        <xdr:cNvSpPr/>
      </xdr:nvSpPr>
      <xdr:spPr>
        <a:xfrm>
          <a:off x="141111" y="41965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31590A-F4F8-A746-A5B4-C1AE7B1E323B}"/>
            </a:ext>
          </a:extLst>
        </xdr:cNvPr>
        <xdr:cNvSpPr/>
      </xdr:nvSpPr>
      <xdr:spPr>
        <a:xfrm>
          <a:off x="133685" y="4473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244E5B-1E44-374E-8569-4D68861685BF}"/>
            </a:ext>
          </a:extLst>
        </xdr:cNvPr>
        <xdr:cNvSpPr/>
      </xdr:nvSpPr>
      <xdr:spPr>
        <a:xfrm>
          <a:off x="140662" y="4765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083F55-A489-8B42-9A9A-84DEC634DAB7}"/>
            </a:ext>
          </a:extLst>
        </xdr:cNvPr>
        <xdr:cNvSpPr/>
      </xdr:nvSpPr>
      <xdr:spPr>
        <a:xfrm>
          <a:off x="133235" y="50575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CF1A7E8-276E-1848-9812-F2570600F2C1}"/>
            </a:ext>
          </a:extLst>
        </xdr:cNvPr>
        <xdr:cNvSpPr/>
      </xdr:nvSpPr>
      <xdr:spPr>
        <a:xfrm>
          <a:off x="125808" y="56491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71F3331-A702-4541-883A-2B6999D34086}"/>
            </a:ext>
          </a:extLst>
        </xdr:cNvPr>
        <xdr:cNvSpPr/>
      </xdr:nvSpPr>
      <xdr:spPr>
        <a:xfrm>
          <a:off x="125808" y="59338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60359E1-E7E7-3B45-B1BE-97564DED52A0}"/>
            </a:ext>
          </a:extLst>
        </xdr:cNvPr>
        <xdr:cNvSpPr/>
      </xdr:nvSpPr>
      <xdr:spPr>
        <a:xfrm>
          <a:off x="133235" y="62185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B51A61B-CD02-3645-B2E8-BA797CD64120}"/>
            </a:ext>
          </a:extLst>
        </xdr:cNvPr>
        <xdr:cNvSpPr/>
      </xdr:nvSpPr>
      <xdr:spPr>
        <a:xfrm>
          <a:off x="133236" y="66270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5ABE4E0-1E6D-A147-BBD0-2CEDC09288B4}"/>
            </a:ext>
          </a:extLst>
        </xdr:cNvPr>
        <xdr:cNvSpPr/>
      </xdr:nvSpPr>
      <xdr:spPr>
        <a:xfrm>
          <a:off x="133235" y="69266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D08C172-3D69-4144-BEF4-EC6CCCBE7773}"/>
            </a:ext>
          </a:extLst>
        </xdr:cNvPr>
        <xdr:cNvSpPr/>
      </xdr:nvSpPr>
      <xdr:spPr>
        <a:xfrm>
          <a:off x="133235" y="72112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5D9294C-ECF9-C745-89C9-7F258F27C563}"/>
            </a:ext>
          </a:extLst>
        </xdr:cNvPr>
        <xdr:cNvSpPr/>
      </xdr:nvSpPr>
      <xdr:spPr>
        <a:xfrm>
          <a:off x="125809" y="74885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5DF6921-A3CF-5047-8480-EA06B89442C9}"/>
            </a:ext>
          </a:extLst>
        </xdr:cNvPr>
        <xdr:cNvSpPr/>
      </xdr:nvSpPr>
      <xdr:spPr>
        <a:xfrm>
          <a:off x="133235" y="7788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07CB41A-B1DE-7140-ABB3-D12443A6FD9D}"/>
            </a:ext>
          </a:extLst>
        </xdr:cNvPr>
        <xdr:cNvSpPr/>
      </xdr:nvSpPr>
      <xdr:spPr>
        <a:xfrm>
          <a:off x="133235" y="8087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3CE1C24-E95F-F440-9CBD-40EC946CA84A}"/>
            </a:ext>
          </a:extLst>
        </xdr:cNvPr>
        <xdr:cNvSpPr/>
      </xdr:nvSpPr>
      <xdr:spPr>
        <a:xfrm>
          <a:off x="140663" y="8379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42D2708-A344-8448-9164-896B760D9D2E}"/>
            </a:ext>
          </a:extLst>
        </xdr:cNvPr>
        <xdr:cNvSpPr/>
      </xdr:nvSpPr>
      <xdr:spPr>
        <a:xfrm>
          <a:off x="140662" y="8664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FCE9665A-52A4-D146-AEA6-96FC23B5829F}"/>
            </a:ext>
          </a:extLst>
        </xdr:cNvPr>
        <xdr:cNvSpPr/>
      </xdr:nvSpPr>
      <xdr:spPr>
        <a:xfrm>
          <a:off x="133235" y="8956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68C089E-768D-AC40-A288-31C13132672E}"/>
            </a:ext>
          </a:extLst>
        </xdr:cNvPr>
        <xdr:cNvSpPr/>
      </xdr:nvSpPr>
      <xdr:spPr>
        <a:xfrm>
          <a:off x="133235" y="9255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478C748-388A-0843-9205-E169D648EDE4}"/>
            </a:ext>
          </a:extLst>
        </xdr:cNvPr>
        <xdr:cNvSpPr/>
      </xdr:nvSpPr>
      <xdr:spPr>
        <a:xfrm>
          <a:off x="133236" y="95480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E7AF996C-3B65-0541-B32C-118F94090C16}"/>
            </a:ext>
          </a:extLst>
        </xdr:cNvPr>
        <xdr:cNvSpPr/>
      </xdr:nvSpPr>
      <xdr:spPr>
        <a:xfrm>
          <a:off x="133235" y="98476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674D58C-6EF7-2D4E-984C-8B818E73FDF0}"/>
            </a:ext>
          </a:extLst>
        </xdr:cNvPr>
        <xdr:cNvSpPr/>
      </xdr:nvSpPr>
      <xdr:spPr>
        <a:xfrm>
          <a:off x="133236" y="104021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0</xdr:row>
      <xdr:rowOff>160021</xdr:rowOff>
    </xdr:from>
    <xdr:to>
      <xdr:col>3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260F43-928F-754A-8558-6CC6263F6802}"/>
            </a:ext>
          </a:extLst>
        </xdr:cNvPr>
        <xdr:cNvSpPr/>
      </xdr:nvSpPr>
      <xdr:spPr>
        <a:xfrm>
          <a:off x="133235" y="5712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951D99-4E1C-5043-B732-693FC4F8BF21}"/>
            </a:ext>
          </a:extLst>
        </xdr:cNvPr>
        <xdr:cNvSpPr/>
      </xdr:nvSpPr>
      <xdr:spPr>
        <a:xfrm>
          <a:off x="141112" y="3843495"/>
          <a:ext cx="648956" cy="2671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89E834-0712-5F45-90D5-E216E3C6D7C8}"/>
            </a:ext>
          </a:extLst>
        </xdr:cNvPr>
        <xdr:cNvSpPr/>
      </xdr:nvSpPr>
      <xdr:spPr>
        <a:xfrm>
          <a:off x="141111" y="41965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903A61-415A-5449-96FA-96CA8965AE70}"/>
            </a:ext>
          </a:extLst>
        </xdr:cNvPr>
        <xdr:cNvSpPr/>
      </xdr:nvSpPr>
      <xdr:spPr>
        <a:xfrm>
          <a:off x="133685" y="4473361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CBFB7C-5A1A-BA42-B4B1-1650C69EEB4D}"/>
            </a:ext>
          </a:extLst>
        </xdr:cNvPr>
        <xdr:cNvSpPr/>
      </xdr:nvSpPr>
      <xdr:spPr>
        <a:xfrm>
          <a:off x="140662" y="5121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69FC4C-A864-8942-9B6B-A29F3EE80B6C}"/>
            </a:ext>
          </a:extLst>
        </xdr:cNvPr>
        <xdr:cNvSpPr/>
      </xdr:nvSpPr>
      <xdr:spPr>
        <a:xfrm>
          <a:off x="133235" y="54131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92999F9-3A00-0D45-BDCB-C2E912B49A77}"/>
            </a:ext>
          </a:extLst>
        </xdr:cNvPr>
        <xdr:cNvSpPr/>
      </xdr:nvSpPr>
      <xdr:spPr>
        <a:xfrm>
          <a:off x="125808" y="60047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F9F1F7E-A956-5C45-B689-0B1A09D7DF88}"/>
            </a:ext>
          </a:extLst>
        </xdr:cNvPr>
        <xdr:cNvSpPr/>
      </xdr:nvSpPr>
      <xdr:spPr>
        <a:xfrm>
          <a:off x="125808" y="6289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DA11A2A-4518-884F-AA46-7232F2B00C8A}"/>
            </a:ext>
          </a:extLst>
        </xdr:cNvPr>
        <xdr:cNvSpPr/>
      </xdr:nvSpPr>
      <xdr:spPr>
        <a:xfrm>
          <a:off x="133235" y="65741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073FBD0-BE58-3346-834F-62BB12D0CD8E}"/>
            </a:ext>
          </a:extLst>
        </xdr:cNvPr>
        <xdr:cNvSpPr/>
      </xdr:nvSpPr>
      <xdr:spPr>
        <a:xfrm>
          <a:off x="133236" y="68810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FB5F4D6-D83C-6143-826B-8D593653CCFD}"/>
            </a:ext>
          </a:extLst>
        </xdr:cNvPr>
        <xdr:cNvSpPr/>
      </xdr:nvSpPr>
      <xdr:spPr>
        <a:xfrm>
          <a:off x="133235" y="71806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28AE1A0-0DA6-FE4B-9E1E-523DE1869646}"/>
            </a:ext>
          </a:extLst>
        </xdr:cNvPr>
        <xdr:cNvSpPr/>
      </xdr:nvSpPr>
      <xdr:spPr>
        <a:xfrm>
          <a:off x="133235" y="74652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14C748B-0769-4D44-9F9A-0835E01D72B4}"/>
            </a:ext>
          </a:extLst>
        </xdr:cNvPr>
        <xdr:cNvSpPr/>
      </xdr:nvSpPr>
      <xdr:spPr>
        <a:xfrm>
          <a:off x="125809" y="77425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1DCAA96-FA25-064D-B569-62AB37247762}"/>
            </a:ext>
          </a:extLst>
        </xdr:cNvPr>
        <xdr:cNvSpPr/>
      </xdr:nvSpPr>
      <xdr:spPr>
        <a:xfrm>
          <a:off x="133235" y="80420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8583B0A-AD69-FA40-B59A-342E3BC23D0E}"/>
            </a:ext>
          </a:extLst>
        </xdr:cNvPr>
        <xdr:cNvSpPr/>
      </xdr:nvSpPr>
      <xdr:spPr>
        <a:xfrm>
          <a:off x="133235" y="8341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AB04A63-408C-3A45-B709-9A490441C2B5}"/>
            </a:ext>
          </a:extLst>
        </xdr:cNvPr>
        <xdr:cNvSpPr/>
      </xdr:nvSpPr>
      <xdr:spPr>
        <a:xfrm>
          <a:off x="140663" y="8633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F6EA052-34AA-2D49-A0FC-A194532760F4}"/>
            </a:ext>
          </a:extLst>
        </xdr:cNvPr>
        <xdr:cNvSpPr/>
      </xdr:nvSpPr>
      <xdr:spPr>
        <a:xfrm>
          <a:off x="140662" y="8918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D7C54842-C14E-DF43-BD02-480439BC9C4F}"/>
            </a:ext>
          </a:extLst>
        </xdr:cNvPr>
        <xdr:cNvSpPr/>
      </xdr:nvSpPr>
      <xdr:spPr>
        <a:xfrm>
          <a:off x="133235" y="9210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7ABBEA1-D290-364B-8391-159B8809E544}"/>
            </a:ext>
          </a:extLst>
        </xdr:cNvPr>
        <xdr:cNvSpPr/>
      </xdr:nvSpPr>
      <xdr:spPr>
        <a:xfrm>
          <a:off x="133235" y="9509988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3CD96930-035E-244C-BEEF-3AA0B7BDA6EA}"/>
            </a:ext>
          </a:extLst>
        </xdr:cNvPr>
        <xdr:cNvSpPr/>
      </xdr:nvSpPr>
      <xdr:spPr>
        <a:xfrm>
          <a:off x="133236" y="100687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610A6BAA-1F4F-FE49-AC20-0F90E6E0A818}"/>
            </a:ext>
          </a:extLst>
        </xdr:cNvPr>
        <xdr:cNvSpPr/>
      </xdr:nvSpPr>
      <xdr:spPr>
        <a:xfrm>
          <a:off x="133235" y="103683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FA55470B-BF4F-3346-AAAE-87B320D06FD3}"/>
            </a:ext>
          </a:extLst>
        </xdr:cNvPr>
        <xdr:cNvSpPr/>
      </xdr:nvSpPr>
      <xdr:spPr>
        <a:xfrm>
          <a:off x="133236" y="109228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79341</xdr:colOff>
      <xdr:row>0</xdr:row>
      <xdr:rowOff>117803</xdr:rowOff>
    </xdr:from>
    <xdr:to>
      <xdr:col>4</xdr:col>
      <xdr:colOff>1536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169" y="117803"/>
          <a:ext cx="1112820" cy="868504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F2EF69-FB83-A24E-BE0A-E851CDBFC3CE}"/>
            </a:ext>
          </a:extLst>
        </xdr:cNvPr>
        <xdr:cNvSpPr/>
      </xdr:nvSpPr>
      <xdr:spPr>
        <a:xfrm>
          <a:off x="133235" y="5445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65E850-E4F7-E24E-A249-4E979644994B}"/>
            </a:ext>
          </a:extLst>
        </xdr:cNvPr>
        <xdr:cNvSpPr/>
      </xdr:nvSpPr>
      <xdr:spPr>
        <a:xfrm>
          <a:off x="141112" y="3932395"/>
          <a:ext cx="648956" cy="2671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FCB9021-782E-8041-AF05-E2B0E2B2D7C0}"/>
            </a:ext>
          </a:extLst>
        </xdr:cNvPr>
        <xdr:cNvSpPr/>
      </xdr:nvSpPr>
      <xdr:spPr>
        <a:xfrm>
          <a:off x="141111" y="42854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8CD5EE-2B85-D84B-B2AE-4A25F2499416}"/>
            </a:ext>
          </a:extLst>
        </xdr:cNvPr>
        <xdr:cNvSpPr/>
      </xdr:nvSpPr>
      <xdr:spPr>
        <a:xfrm>
          <a:off x="133685" y="4562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ED93C5-3B87-5F45-BBF7-A9894064C368}"/>
            </a:ext>
          </a:extLst>
        </xdr:cNvPr>
        <xdr:cNvSpPr/>
      </xdr:nvSpPr>
      <xdr:spPr>
        <a:xfrm>
          <a:off x="140662" y="4854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72E781F-5269-BF4B-B660-5D40874A72EF}"/>
            </a:ext>
          </a:extLst>
        </xdr:cNvPr>
        <xdr:cNvSpPr/>
      </xdr:nvSpPr>
      <xdr:spPr>
        <a:xfrm>
          <a:off x="133235" y="5146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C3E7B13-8D37-F940-89F6-552A5A6DA844}"/>
            </a:ext>
          </a:extLst>
        </xdr:cNvPr>
        <xdr:cNvSpPr/>
      </xdr:nvSpPr>
      <xdr:spPr>
        <a:xfrm>
          <a:off x="125808" y="57380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A5F4BD8-7687-D243-BFFB-D67CB0CFD36F}"/>
            </a:ext>
          </a:extLst>
        </xdr:cNvPr>
        <xdr:cNvSpPr/>
      </xdr:nvSpPr>
      <xdr:spPr>
        <a:xfrm>
          <a:off x="125808" y="6022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89C9294-4F55-8644-A68E-6B5AA6D57CC1}"/>
            </a:ext>
          </a:extLst>
        </xdr:cNvPr>
        <xdr:cNvSpPr/>
      </xdr:nvSpPr>
      <xdr:spPr>
        <a:xfrm>
          <a:off x="133235" y="6307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98FA905-FF04-474B-890D-6ADBCA54F939}"/>
            </a:ext>
          </a:extLst>
        </xdr:cNvPr>
        <xdr:cNvSpPr/>
      </xdr:nvSpPr>
      <xdr:spPr>
        <a:xfrm>
          <a:off x="133236" y="66143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719DD4B-59F8-D444-927D-6B3B5D65201B}"/>
            </a:ext>
          </a:extLst>
        </xdr:cNvPr>
        <xdr:cNvSpPr/>
      </xdr:nvSpPr>
      <xdr:spPr>
        <a:xfrm>
          <a:off x="133235" y="69139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1BB767D-DA6A-3B40-A931-FAED889701AF}"/>
            </a:ext>
          </a:extLst>
        </xdr:cNvPr>
        <xdr:cNvSpPr/>
      </xdr:nvSpPr>
      <xdr:spPr>
        <a:xfrm>
          <a:off x="133235" y="7198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2D62DEF-2738-5C47-AEDA-4979C9B40E84}"/>
            </a:ext>
          </a:extLst>
        </xdr:cNvPr>
        <xdr:cNvSpPr/>
      </xdr:nvSpPr>
      <xdr:spPr>
        <a:xfrm>
          <a:off x="125809" y="7475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6743239-A5C2-FB47-B323-8058703ABB9D}"/>
            </a:ext>
          </a:extLst>
        </xdr:cNvPr>
        <xdr:cNvSpPr/>
      </xdr:nvSpPr>
      <xdr:spPr>
        <a:xfrm>
          <a:off x="133235" y="7775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89A88AA-2164-C541-9048-5AB9AFC54DC5}"/>
            </a:ext>
          </a:extLst>
        </xdr:cNvPr>
        <xdr:cNvSpPr/>
      </xdr:nvSpPr>
      <xdr:spPr>
        <a:xfrm>
          <a:off x="133235" y="8074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966DC0CF-E108-EF47-815F-CAF7962C3410}"/>
            </a:ext>
          </a:extLst>
        </xdr:cNvPr>
        <xdr:cNvSpPr/>
      </xdr:nvSpPr>
      <xdr:spPr>
        <a:xfrm>
          <a:off x="140663" y="8366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EDC46AB-D418-694B-9437-29A8659BB811}"/>
            </a:ext>
          </a:extLst>
        </xdr:cNvPr>
        <xdr:cNvSpPr/>
      </xdr:nvSpPr>
      <xdr:spPr>
        <a:xfrm>
          <a:off x="140662" y="86516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7C4D32F-2DFA-5A46-A33D-F460746E4FAC}"/>
            </a:ext>
          </a:extLst>
        </xdr:cNvPr>
        <xdr:cNvSpPr/>
      </xdr:nvSpPr>
      <xdr:spPr>
        <a:xfrm>
          <a:off x="133235" y="8943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E05AD88-09A6-5D47-9438-ACEAD8ADFD79}"/>
            </a:ext>
          </a:extLst>
        </xdr:cNvPr>
        <xdr:cNvSpPr/>
      </xdr:nvSpPr>
      <xdr:spPr>
        <a:xfrm>
          <a:off x="133235" y="92432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891B8B4F-AE0A-564B-95FE-C25A3E6302A3}"/>
            </a:ext>
          </a:extLst>
        </xdr:cNvPr>
        <xdr:cNvSpPr/>
      </xdr:nvSpPr>
      <xdr:spPr>
        <a:xfrm>
          <a:off x="133236" y="95353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CD85252-DB70-FB4E-A520-49B91F5913F7}"/>
            </a:ext>
          </a:extLst>
        </xdr:cNvPr>
        <xdr:cNvSpPr/>
      </xdr:nvSpPr>
      <xdr:spPr>
        <a:xfrm>
          <a:off x="133235" y="98349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BA4849C-AB95-EE49-BE09-82FE086A8AE8}"/>
            </a:ext>
          </a:extLst>
        </xdr:cNvPr>
        <xdr:cNvSpPr/>
      </xdr:nvSpPr>
      <xdr:spPr>
        <a:xfrm>
          <a:off x="133236" y="103894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0</xdr:row>
      <xdr:rowOff>160021</xdr:rowOff>
    </xdr:from>
    <xdr:to>
      <xdr:col>3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8CA567-39C8-A149-B647-0FC9A8B3707B}"/>
            </a:ext>
          </a:extLst>
        </xdr:cNvPr>
        <xdr:cNvSpPr/>
      </xdr:nvSpPr>
      <xdr:spPr>
        <a:xfrm>
          <a:off x="133235" y="54586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396D4B-BEDC-E64C-8B67-DCD2A21BAA17}"/>
            </a:ext>
          </a:extLst>
        </xdr:cNvPr>
        <xdr:cNvSpPr/>
      </xdr:nvSpPr>
      <xdr:spPr>
        <a:xfrm>
          <a:off x="141112" y="3932395"/>
          <a:ext cx="648956" cy="3560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438C1E-CF3B-444D-8D8C-9FABE9C7914B}"/>
            </a:ext>
          </a:extLst>
        </xdr:cNvPr>
        <xdr:cNvSpPr/>
      </xdr:nvSpPr>
      <xdr:spPr>
        <a:xfrm>
          <a:off x="141111" y="43743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E793F9-6B2F-5D48-A507-41FAF8C4F866}"/>
            </a:ext>
          </a:extLst>
        </xdr:cNvPr>
        <xdr:cNvSpPr/>
      </xdr:nvSpPr>
      <xdr:spPr>
        <a:xfrm>
          <a:off x="133685" y="46511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CE63AF-5109-234E-B5C2-BFFD97D50E93}"/>
            </a:ext>
          </a:extLst>
        </xdr:cNvPr>
        <xdr:cNvSpPr/>
      </xdr:nvSpPr>
      <xdr:spPr>
        <a:xfrm>
          <a:off x="140662" y="4943261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30347C6-5334-F944-86EA-B4C1FF8B63E1}"/>
            </a:ext>
          </a:extLst>
        </xdr:cNvPr>
        <xdr:cNvSpPr/>
      </xdr:nvSpPr>
      <xdr:spPr>
        <a:xfrm>
          <a:off x="133235" y="5197261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9F3DEF5-B780-9842-A9C2-0AFAF6FAF344}"/>
            </a:ext>
          </a:extLst>
        </xdr:cNvPr>
        <xdr:cNvSpPr/>
      </xdr:nvSpPr>
      <xdr:spPr>
        <a:xfrm>
          <a:off x="125808" y="5750787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00DB043-AEAA-6545-A68D-B95B0C6AE58F}"/>
            </a:ext>
          </a:extLst>
        </xdr:cNvPr>
        <xdr:cNvSpPr/>
      </xdr:nvSpPr>
      <xdr:spPr>
        <a:xfrm>
          <a:off x="125808" y="5997361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BAB72BF-84E4-6F40-923E-CA14A97FF609}"/>
            </a:ext>
          </a:extLst>
        </xdr:cNvPr>
        <xdr:cNvSpPr/>
      </xdr:nvSpPr>
      <xdr:spPr>
        <a:xfrm>
          <a:off x="133235" y="6243934"/>
          <a:ext cx="648956" cy="2340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E9161A1-E2EC-904D-9899-ABE9A5018258}"/>
            </a:ext>
          </a:extLst>
        </xdr:cNvPr>
        <xdr:cNvSpPr/>
      </xdr:nvSpPr>
      <xdr:spPr>
        <a:xfrm>
          <a:off x="133236" y="6512787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87A369D-4569-444B-8C73-6C7C43CEF225}"/>
            </a:ext>
          </a:extLst>
        </xdr:cNvPr>
        <xdr:cNvSpPr/>
      </xdr:nvSpPr>
      <xdr:spPr>
        <a:xfrm>
          <a:off x="133235" y="6774215"/>
          <a:ext cx="648956" cy="2086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A2E317-6553-D143-A36E-F5876EA34548}"/>
            </a:ext>
          </a:extLst>
        </xdr:cNvPr>
        <xdr:cNvSpPr/>
      </xdr:nvSpPr>
      <xdr:spPr>
        <a:xfrm>
          <a:off x="133235" y="7020788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4B95ACB-0617-4742-B459-72247BEF4645}"/>
            </a:ext>
          </a:extLst>
        </xdr:cNvPr>
        <xdr:cNvSpPr/>
      </xdr:nvSpPr>
      <xdr:spPr>
        <a:xfrm>
          <a:off x="125809" y="7259934"/>
          <a:ext cx="648956" cy="2340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B614DA9-29EC-2B4E-921D-AB6D848B1646}"/>
            </a:ext>
          </a:extLst>
        </xdr:cNvPr>
        <xdr:cNvSpPr/>
      </xdr:nvSpPr>
      <xdr:spPr>
        <a:xfrm>
          <a:off x="133235" y="7521361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1301114-EBA2-FF42-B390-235839464441}"/>
            </a:ext>
          </a:extLst>
        </xdr:cNvPr>
        <xdr:cNvSpPr/>
      </xdr:nvSpPr>
      <xdr:spPr>
        <a:xfrm>
          <a:off x="133235" y="7782788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965DA0FC-68B6-8047-BEB3-4DAB8DB33B59}"/>
            </a:ext>
          </a:extLst>
        </xdr:cNvPr>
        <xdr:cNvSpPr/>
      </xdr:nvSpPr>
      <xdr:spPr>
        <a:xfrm>
          <a:off x="140663" y="8036788"/>
          <a:ext cx="648956" cy="2213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04376FA-5292-9149-B69B-D1F79BE92A0C}"/>
            </a:ext>
          </a:extLst>
        </xdr:cNvPr>
        <xdr:cNvSpPr/>
      </xdr:nvSpPr>
      <xdr:spPr>
        <a:xfrm>
          <a:off x="140662" y="8283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026FB94-9049-0645-803B-959FA67F5A2B}"/>
            </a:ext>
          </a:extLst>
        </xdr:cNvPr>
        <xdr:cNvSpPr/>
      </xdr:nvSpPr>
      <xdr:spPr>
        <a:xfrm>
          <a:off x="133235" y="8575461"/>
          <a:ext cx="648956" cy="2086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EBF0974-11C6-F24C-BF14-53D611A78E8B}"/>
            </a:ext>
          </a:extLst>
        </xdr:cNvPr>
        <xdr:cNvSpPr/>
      </xdr:nvSpPr>
      <xdr:spPr>
        <a:xfrm>
          <a:off x="133235" y="8824188"/>
          <a:ext cx="648956" cy="2086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2776990-F5A6-2340-A458-A45E0449AE28}"/>
            </a:ext>
          </a:extLst>
        </xdr:cNvPr>
        <xdr:cNvSpPr/>
      </xdr:nvSpPr>
      <xdr:spPr>
        <a:xfrm>
          <a:off x="133236" y="9065488"/>
          <a:ext cx="648956" cy="2086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D76264D-9ADE-6C44-BF0B-9BC89934ECFC}"/>
            </a:ext>
          </a:extLst>
        </xdr:cNvPr>
        <xdr:cNvSpPr/>
      </xdr:nvSpPr>
      <xdr:spPr>
        <a:xfrm>
          <a:off x="133235" y="9314214"/>
          <a:ext cx="648956" cy="1959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557A467-ED50-7F43-A299-D7594829C820}"/>
            </a:ext>
          </a:extLst>
        </xdr:cNvPr>
        <xdr:cNvSpPr/>
      </xdr:nvSpPr>
      <xdr:spPr>
        <a:xfrm>
          <a:off x="133236" y="9767107"/>
          <a:ext cx="648956" cy="2340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0</xdr:row>
      <xdr:rowOff>160021</xdr:rowOff>
    </xdr:from>
    <xdr:to>
      <xdr:col>3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998FB-F4B6-634B-9F28-B4292E2FD657}"/>
            </a:ext>
          </a:extLst>
        </xdr:cNvPr>
        <xdr:cNvSpPr/>
      </xdr:nvSpPr>
      <xdr:spPr>
        <a:xfrm>
          <a:off x="133235" y="5445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29893D-B125-F94F-9FC4-6DEE91E6039F}"/>
            </a:ext>
          </a:extLst>
        </xdr:cNvPr>
        <xdr:cNvSpPr/>
      </xdr:nvSpPr>
      <xdr:spPr>
        <a:xfrm>
          <a:off x="141112" y="3932395"/>
          <a:ext cx="648956" cy="2671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9C38B4-1C79-ED42-90C7-183737345760}"/>
            </a:ext>
          </a:extLst>
        </xdr:cNvPr>
        <xdr:cNvSpPr/>
      </xdr:nvSpPr>
      <xdr:spPr>
        <a:xfrm>
          <a:off x="141111" y="42854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442AA6-F0F8-904F-AC5C-95FD6B6AB313}"/>
            </a:ext>
          </a:extLst>
        </xdr:cNvPr>
        <xdr:cNvSpPr/>
      </xdr:nvSpPr>
      <xdr:spPr>
        <a:xfrm>
          <a:off x="133685" y="4562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4980578-2A39-EF4B-8ED7-725E765363A2}"/>
            </a:ext>
          </a:extLst>
        </xdr:cNvPr>
        <xdr:cNvSpPr/>
      </xdr:nvSpPr>
      <xdr:spPr>
        <a:xfrm>
          <a:off x="140662" y="4854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B81C00-38BA-0740-A1C0-62BDD342CA2D}"/>
            </a:ext>
          </a:extLst>
        </xdr:cNvPr>
        <xdr:cNvSpPr/>
      </xdr:nvSpPr>
      <xdr:spPr>
        <a:xfrm>
          <a:off x="133235" y="5146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7FF677E-3DF3-B548-822D-C65ABA392BC9}"/>
            </a:ext>
          </a:extLst>
        </xdr:cNvPr>
        <xdr:cNvSpPr/>
      </xdr:nvSpPr>
      <xdr:spPr>
        <a:xfrm>
          <a:off x="125808" y="57380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FE76B75-62C5-3B44-963B-5B4585932E7D}"/>
            </a:ext>
          </a:extLst>
        </xdr:cNvPr>
        <xdr:cNvSpPr/>
      </xdr:nvSpPr>
      <xdr:spPr>
        <a:xfrm>
          <a:off x="125808" y="6022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3A66FC6-0C9F-8C43-A6C1-B55A760467BE}"/>
            </a:ext>
          </a:extLst>
        </xdr:cNvPr>
        <xdr:cNvSpPr/>
      </xdr:nvSpPr>
      <xdr:spPr>
        <a:xfrm>
          <a:off x="133235" y="6307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84A8071-4651-1D46-98F4-23BDFBE31ED3}"/>
            </a:ext>
          </a:extLst>
        </xdr:cNvPr>
        <xdr:cNvSpPr/>
      </xdr:nvSpPr>
      <xdr:spPr>
        <a:xfrm>
          <a:off x="133236" y="66143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87558F2-D2F5-BA4F-999A-BFDDF9FE9A27}"/>
            </a:ext>
          </a:extLst>
        </xdr:cNvPr>
        <xdr:cNvSpPr/>
      </xdr:nvSpPr>
      <xdr:spPr>
        <a:xfrm>
          <a:off x="133235" y="69139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1A75C7D-97C0-2A45-9DC9-3A5B03F348A6}"/>
            </a:ext>
          </a:extLst>
        </xdr:cNvPr>
        <xdr:cNvSpPr/>
      </xdr:nvSpPr>
      <xdr:spPr>
        <a:xfrm>
          <a:off x="133235" y="7198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254DB48-AEB5-3046-9AFE-1AC24375655E}"/>
            </a:ext>
          </a:extLst>
        </xdr:cNvPr>
        <xdr:cNvSpPr/>
      </xdr:nvSpPr>
      <xdr:spPr>
        <a:xfrm>
          <a:off x="125809" y="7475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370B355-FC9B-AE4E-82C4-29AB914F9319}"/>
            </a:ext>
          </a:extLst>
        </xdr:cNvPr>
        <xdr:cNvSpPr/>
      </xdr:nvSpPr>
      <xdr:spPr>
        <a:xfrm>
          <a:off x="133235" y="7775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3E2C555-B028-0D46-B1F2-A64EA2247D76}"/>
            </a:ext>
          </a:extLst>
        </xdr:cNvPr>
        <xdr:cNvSpPr/>
      </xdr:nvSpPr>
      <xdr:spPr>
        <a:xfrm>
          <a:off x="133235" y="8074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B63A1E5-A809-1843-86C8-5E848B03F2DB}"/>
            </a:ext>
          </a:extLst>
        </xdr:cNvPr>
        <xdr:cNvSpPr/>
      </xdr:nvSpPr>
      <xdr:spPr>
        <a:xfrm>
          <a:off x="140663" y="8366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5D4C140-5EDA-BA41-9986-A2224D37A276}"/>
            </a:ext>
          </a:extLst>
        </xdr:cNvPr>
        <xdr:cNvSpPr/>
      </xdr:nvSpPr>
      <xdr:spPr>
        <a:xfrm>
          <a:off x="140662" y="86516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2203075-B1C3-4347-A421-81E844433BA7}"/>
            </a:ext>
          </a:extLst>
        </xdr:cNvPr>
        <xdr:cNvSpPr/>
      </xdr:nvSpPr>
      <xdr:spPr>
        <a:xfrm>
          <a:off x="133235" y="8943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81FCCF94-0C15-F647-8CB6-22D469E4A539}"/>
            </a:ext>
          </a:extLst>
        </xdr:cNvPr>
        <xdr:cNvSpPr/>
      </xdr:nvSpPr>
      <xdr:spPr>
        <a:xfrm>
          <a:off x="133235" y="92432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2C2A787-E2CF-A341-9621-4C1BCDAE4772}"/>
            </a:ext>
          </a:extLst>
        </xdr:cNvPr>
        <xdr:cNvSpPr/>
      </xdr:nvSpPr>
      <xdr:spPr>
        <a:xfrm>
          <a:off x="133236" y="95353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39AC6D7-B7AD-994A-8C07-C5CD9E002528}"/>
            </a:ext>
          </a:extLst>
        </xdr:cNvPr>
        <xdr:cNvSpPr/>
      </xdr:nvSpPr>
      <xdr:spPr>
        <a:xfrm>
          <a:off x="133235" y="98349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481F51C-EF96-2A4E-980F-80AFD521A40D}"/>
            </a:ext>
          </a:extLst>
        </xdr:cNvPr>
        <xdr:cNvSpPr/>
      </xdr:nvSpPr>
      <xdr:spPr>
        <a:xfrm>
          <a:off x="133236" y="103894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261257</xdr:colOff>
      <xdr:row>0</xdr:row>
      <xdr:rowOff>148041</xdr:rowOff>
    </xdr:from>
    <xdr:to>
      <xdr:col>3</xdr:col>
      <xdr:colOff>1109738</xdr:colOff>
      <xdr:row>3</xdr:row>
      <xdr:rowOff>156222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114" y="148041"/>
          <a:ext cx="1120624" cy="869967"/>
        </a:xfrm>
        <a:prstGeom prst="rect">
          <a:avLst/>
        </a:prstGeom>
      </xdr:spPr>
    </xdr:pic>
    <xdr:clientData/>
  </xdr:twoCellAnchor>
  <xdr:twoCellAnchor>
    <xdr:from>
      <xdr:col>0</xdr:col>
      <xdr:colOff>133235</xdr:colOff>
      <xdr:row>18</xdr:row>
      <xdr:rowOff>35788</xdr:rowOff>
    </xdr:from>
    <xdr:to>
      <xdr:col>0</xdr:col>
      <xdr:colOff>782191</xdr:colOff>
      <xdr:row>18</xdr:row>
      <xdr:rowOff>307931</xdr:rowOff>
    </xdr:to>
    <xdr:sp macro="" textlink="">
      <xdr:nvSpPr>
        <xdr:cNvPr id="25" name="Rectángulo redondeado 2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9A37C3-2AFF-9A47-A0C9-1FCA4A1CE38F}"/>
            </a:ext>
          </a:extLst>
        </xdr:cNvPr>
        <xdr:cNvSpPr/>
      </xdr:nvSpPr>
      <xdr:spPr>
        <a:xfrm>
          <a:off x="133235" y="5445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FC-3.1</a:t>
          </a:r>
        </a:p>
      </xdr:txBody>
    </xdr:sp>
    <xdr:clientData/>
  </xdr:twoCellAnchor>
  <xdr:twoCellAnchor>
    <xdr:from>
      <xdr:col>0</xdr:col>
      <xdr:colOff>141112</xdr:colOff>
      <xdr:row>12</xdr:row>
      <xdr:rowOff>274795</xdr:rowOff>
    </xdr:from>
    <xdr:to>
      <xdr:col>0</xdr:col>
      <xdr:colOff>790068</xdr:colOff>
      <xdr:row>13</xdr:row>
      <xdr:rowOff>249862</xdr:rowOff>
    </xdr:to>
    <xdr:sp macro="" textlink="">
      <xdr:nvSpPr>
        <xdr:cNvPr id="26" name="Rectángulo redondeado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40FC3C-3FC8-0C4B-AF45-F9F071DED7E5}"/>
            </a:ext>
          </a:extLst>
        </xdr:cNvPr>
        <xdr:cNvSpPr/>
      </xdr:nvSpPr>
      <xdr:spPr>
        <a:xfrm>
          <a:off x="141112" y="3932395"/>
          <a:ext cx="648956" cy="26716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800" b="1">
              <a:latin typeface="Arial" panose="020B0604020202020204" pitchFamily="34" charset="0"/>
              <a:cs typeface="Arial" panose="020B0604020202020204" pitchFamily="34" charset="0"/>
            </a:rPr>
            <a:t>General</a:t>
          </a:r>
        </a:p>
      </xdr:txBody>
    </xdr:sp>
    <xdr:clientData/>
  </xdr:twoCellAnchor>
  <xdr:twoCellAnchor>
    <xdr:from>
      <xdr:col>0</xdr:col>
      <xdr:colOff>141111</xdr:colOff>
      <xdr:row>14</xdr:row>
      <xdr:rowOff>43664</xdr:rowOff>
    </xdr:from>
    <xdr:to>
      <xdr:col>0</xdr:col>
      <xdr:colOff>790067</xdr:colOff>
      <xdr:row>14</xdr:row>
      <xdr:rowOff>315807</xdr:rowOff>
    </xdr:to>
    <xdr:sp macro="" textlink="">
      <xdr:nvSpPr>
        <xdr:cNvPr id="27" name="Rectángulo redonde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409BA7-4953-B74E-B446-E9543B0993C0}"/>
            </a:ext>
          </a:extLst>
        </xdr:cNvPr>
        <xdr:cNvSpPr/>
      </xdr:nvSpPr>
      <xdr:spPr>
        <a:xfrm>
          <a:off x="141111" y="428546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700" b="1">
              <a:latin typeface="Arial" panose="020B0604020202020204" pitchFamily="34" charset="0"/>
              <a:cs typeface="Arial" panose="020B0604020202020204" pitchFamily="34" charset="0"/>
            </a:rPr>
            <a:t>Check list</a:t>
          </a:r>
        </a:p>
      </xdr:txBody>
    </xdr:sp>
    <xdr:clientData/>
  </xdr:twoCellAnchor>
  <xdr:twoCellAnchor>
    <xdr:from>
      <xdr:col>0</xdr:col>
      <xdr:colOff>133685</xdr:colOff>
      <xdr:row>15</xdr:row>
      <xdr:rowOff>28361</xdr:rowOff>
    </xdr:from>
    <xdr:to>
      <xdr:col>0</xdr:col>
      <xdr:colOff>782641</xdr:colOff>
      <xdr:row>15</xdr:row>
      <xdr:rowOff>300504</xdr:rowOff>
    </xdr:to>
    <xdr:sp macro="" textlink="">
      <xdr:nvSpPr>
        <xdr:cNvPr id="28" name="Rectángulo redondead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813C12-4E99-0940-8D87-44988A417513}"/>
            </a:ext>
          </a:extLst>
        </xdr:cNvPr>
        <xdr:cNvSpPr/>
      </xdr:nvSpPr>
      <xdr:spPr>
        <a:xfrm>
          <a:off x="133685" y="45622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</a:t>
          </a:r>
        </a:p>
      </xdr:txBody>
    </xdr:sp>
    <xdr:clientData/>
  </xdr:twoCellAnchor>
  <xdr:twoCellAnchor>
    <xdr:from>
      <xdr:col>0</xdr:col>
      <xdr:colOff>140662</xdr:colOff>
      <xdr:row>16</xdr:row>
      <xdr:rowOff>28361</xdr:rowOff>
    </xdr:from>
    <xdr:to>
      <xdr:col>0</xdr:col>
      <xdr:colOff>789618</xdr:colOff>
      <xdr:row>16</xdr:row>
      <xdr:rowOff>300504</xdr:rowOff>
    </xdr:to>
    <xdr:sp macro="" textlink="">
      <xdr:nvSpPr>
        <xdr:cNvPr id="29" name="Rectángulo redondeado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006248-CA29-9D4E-98FF-6E1437EC60DF}"/>
            </a:ext>
          </a:extLst>
        </xdr:cNvPr>
        <xdr:cNvSpPr/>
      </xdr:nvSpPr>
      <xdr:spPr>
        <a:xfrm>
          <a:off x="140662" y="4854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FC-2</a:t>
          </a:r>
        </a:p>
      </xdr:txBody>
    </xdr:sp>
    <xdr:clientData/>
  </xdr:twoCellAnchor>
  <xdr:twoCellAnchor>
    <xdr:from>
      <xdr:col>0</xdr:col>
      <xdr:colOff>133235</xdr:colOff>
      <xdr:row>17</xdr:row>
      <xdr:rowOff>28361</xdr:rowOff>
    </xdr:from>
    <xdr:to>
      <xdr:col>0</xdr:col>
      <xdr:colOff>782191</xdr:colOff>
      <xdr:row>17</xdr:row>
      <xdr:rowOff>300504</xdr:rowOff>
    </xdr:to>
    <xdr:sp macro="" textlink="">
      <xdr:nvSpPr>
        <xdr:cNvPr id="30" name="Rectángulo redondeado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6B0A74-4A54-AF4D-9FCB-71299267B6A5}"/>
            </a:ext>
          </a:extLst>
        </xdr:cNvPr>
        <xdr:cNvSpPr/>
      </xdr:nvSpPr>
      <xdr:spPr>
        <a:xfrm>
          <a:off x="133235" y="51464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FC-3</a:t>
          </a:r>
        </a:p>
      </xdr:txBody>
    </xdr:sp>
    <xdr:clientData/>
  </xdr:twoCellAnchor>
  <xdr:twoCellAnchor>
    <xdr:from>
      <xdr:col>0</xdr:col>
      <xdr:colOff>125808</xdr:colOff>
      <xdr:row>19</xdr:row>
      <xdr:rowOff>35787</xdr:rowOff>
    </xdr:from>
    <xdr:to>
      <xdr:col>0</xdr:col>
      <xdr:colOff>774764</xdr:colOff>
      <xdr:row>19</xdr:row>
      <xdr:rowOff>307930</xdr:rowOff>
    </xdr:to>
    <xdr:sp macro="" textlink="">
      <xdr:nvSpPr>
        <xdr:cNvPr id="31" name="Rectángulo redondead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F9DBAE8-A3EB-0B43-853D-BCA2B23A1F4E}"/>
            </a:ext>
          </a:extLst>
        </xdr:cNvPr>
        <xdr:cNvSpPr/>
      </xdr:nvSpPr>
      <xdr:spPr>
        <a:xfrm>
          <a:off x="125808" y="57380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A</a:t>
          </a:r>
        </a:p>
      </xdr:txBody>
    </xdr:sp>
    <xdr:clientData/>
  </xdr:twoCellAnchor>
  <xdr:twoCellAnchor>
    <xdr:from>
      <xdr:col>0</xdr:col>
      <xdr:colOff>125808</xdr:colOff>
      <xdr:row>20</xdr:row>
      <xdr:rowOff>28361</xdr:rowOff>
    </xdr:from>
    <xdr:to>
      <xdr:col>0</xdr:col>
      <xdr:colOff>774764</xdr:colOff>
      <xdr:row>20</xdr:row>
      <xdr:rowOff>300504</xdr:rowOff>
    </xdr:to>
    <xdr:sp macro="" textlink="">
      <xdr:nvSpPr>
        <xdr:cNvPr id="32" name="Rectángulo redondeado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A72872B-9EAE-0D4E-A90C-E871E56A1648}"/>
            </a:ext>
          </a:extLst>
        </xdr:cNvPr>
        <xdr:cNvSpPr/>
      </xdr:nvSpPr>
      <xdr:spPr>
        <a:xfrm>
          <a:off x="125808" y="6022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FC-4 P</a:t>
          </a:r>
        </a:p>
      </xdr:txBody>
    </xdr:sp>
    <xdr:clientData/>
  </xdr:twoCellAnchor>
  <xdr:twoCellAnchor>
    <xdr:from>
      <xdr:col>0</xdr:col>
      <xdr:colOff>133235</xdr:colOff>
      <xdr:row>21</xdr:row>
      <xdr:rowOff>20934</xdr:rowOff>
    </xdr:from>
    <xdr:to>
      <xdr:col>0</xdr:col>
      <xdr:colOff>782191</xdr:colOff>
      <xdr:row>21</xdr:row>
      <xdr:rowOff>293077</xdr:rowOff>
    </xdr:to>
    <xdr:sp macro="" textlink="">
      <xdr:nvSpPr>
        <xdr:cNvPr id="33" name="Rectángulo redondeado 3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7E01381-43D1-3644-BD62-D41DC98466C9}"/>
            </a:ext>
          </a:extLst>
        </xdr:cNvPr>
        <xdr:cNvSpPr/>
      </xdr:nvSpPr>
      <xdr:spPr>
        <a:xfrm>
          <a:off x="133235" y="63074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FC-6</a:t>
          </a:r>
        </a:p>
      </xdr:txBody>
    </xdr:sp>
    <xdr:clientData/>
  </xdr:twoCellAnchor>
  <xdr:twoCellAnchor>
    <xdr:from>
      <xdr:col>0</xdr:col>
      <xdr:colOff>133236</xdr:colOff>
      <xdr:row>22</xdr:row>
      <xdr:rowOff>35787</xdr:rowOff>
    </xdr:from>
    <xdr:to>
      <xdr:col>0</xdr:col>
      <xdr:colOff>782192</xdr:colOff>
      <xdr:row>22</xdr:row>
      <xdr:rowOff>307930</xdr:rowOff>
    </xdr:to>
    <xdr:sp macro="" textlink="">
      <xdr:nvSpPr>
        <xdr:cNvPr id="34" name="Rectángulo redondead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9AB4690-2088-5E40-8179-0D2A354C4D49}"/>
            </a:ext>
          </a:extLst>
        </xdr:cNvPr>
        <xdr:cNvSpPr/>
      </xdr:nvSpPr>
      <xdr:spPr>
        <a:xfrm>
          <a:off x="133236" y="6614387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FC-7</a:t>
          </a:r>
        </a:p>
      </xdr:txBody>
    </xdr:sp>
    <xdr:clientData/>
  </xdr:twoCellAnchor>
  <xdr:twoCellAnchor>
    <xdr:from>
      <xdr:col>0</xdr:col>
      <xdr:colOff>133235</xdr:colOff>
      <xdr:row>23</xdr:row>
      <xdr:rowOff>43215</xdr:rowOff>
    </xdr:from>
    <xdr:to>
      <xdr:col>0</xdr:col>
      <xdr:colOff>782191</xdr:colOff>
      <xdr:row>23</xdr:row>
      <xdr:rowOff>315358</xdr:rowOff>
    </xdr:to>
    <xdr:sp macro="" textlink="">
      <xdr:nvSpPr>
        <xdr:cNvPr id="35" name="Rectángulo redondeado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63989C8-82CF-7347-9190-BDC66117F918}"/>
            </a:ext>
          </a:extLst>
        </xdr:cNvPr>
        <xdr:cNvSpPr/>
      </xdr:nvSpPr>
      <xdr:spPr>
        <a:xfrm>
          <a:off x="133235" y="6913915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FC-8</a:t>
          </a:r>
        </a:p>
      </xdr:txBody>
    </xdr:sp>
    <xdr:clientData/>
  </xdr:twoCellAnchor>
  <xdr:twoCellAnchor>
    <xdr:from>
      <xdr:col>0</xdr:col>
      <xdr:colOff>133235</xdr:colOff>
      <xdr:row>24</xdr:row>
      <xdr:rowOff>35788</xdr:rowOff>
    </xdr:from>
    <xdr:to>
      <xdr:col>0</xdr:col>
      <xdr:colOff>782191</xdr:colOff>
      <xdr:row>24</xdr:row>
      <xdr:rowOff>307931</xdr:rowOff>
    </xdr:to>
    <xdr:sp macro="" textlink="">
      <xdr:nvSpPr>
        <xdr:cNvPr id="36" name="Rectángulo redondead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A01FF09-4836-2849-B99D-449D0EA6B04C}"/>
            </a:ext>
          </a:extLst>
        </xdr:cNvPr>
        <xdr:cNvSpPr/>
      </xdr:nvSpPr>
      <xdr:spPr>
        <a:xfrm>
          <a:off x="133235" y="71985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</a:t>
          </a:r>
        </a:p>
      </xdr:txBody>
    </xdr:sp>
    <xdr:clientData/>
  </xdr:twoCellAnchor>
  <xdr:twoCellAnchor>
    <xdr:from>
      <xdr:col>0</xdr:col>
      <xdr:colOff>125809</xdr:colOff>
      <xdr:row>25</xdr:row>
      <xdr:rowOff>20934</xdr:rowOff>
    </xdr:from>
    <xdr:to>
      <xdr:col>0</xdr:col>
      <xdr:colOff>774765</xdr:colOff>
      <xdr:row>25</xdr:row>
      <xdr:rowOff>293077</xdr:rowOff>
    </xdr:to>
    <xdr:sp macro="" textlink="">
      <xdr:nvSpPr>
        <xdr:cNvPr id="37" name="Rectángulo redondead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6598F34-4545-D140-BDAE-B1E344DCD576}"/>
            </a:ext>
          </a:extLst>
        </xdr:cNvPr>
        <xdr:cNvSpPr/>
      </xdr:nvSpPr>
      <xdr:spPr>
        <a:xfrm>
          <a:off x="125809" y="7475834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FC-10</a:t>
          </a:r>
        </a:p>
      </xdr:txBody>
    </xdr:sp>
    <xdr:clientData/>
  </xdr:twoCellAnchor>
  <xdr:twoCellAnchor>
    <xdr:from>
      <xdr:col>0</xdr:col>
      <xdr:colOff>133235</xdr:colOff>
      <xdr:row>26</xdr:row>
      <xdr:rowOff>28361</xdr:rowOff>
    </xdr:from>
    <xdr:to>
      <xdr:col>0</xdr:col>
      <xdr:colOff>782191</xdr:colOff>
      <xdr:row>26</xdr:row>
      <xdr:rowOff>300504</xdr:rowOff>
    </xdr:to>
    <xdr:sp macro="" textlink="">
      <xdr:nvSpPr>
        <xdr:cNvPr id="38" name="Rectángulo redondead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F06FE01-3521-E945-B6AA-0108DA1F24E9}"/>
            </a:ext>
          </a:extLst>
        </xdr:cNvPr>
        <xdr:cNvSpPr/>
      </xdr:nvSpPr>
      <xdr:spPr>
        <a:xfrm>
          <a:off x="133235" y="77753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FC-11</a:t>
          </a:r>
        </a:p>
      </xdr:txBody>
    </xdr:sp>
    <xdr:clientData/>
  </xdr:twoCellAnchor>
  <xdr:twoCellAnchor>
    <xdr:from>
      <xdr:col>0</xdr:col>
      <xdr:colOff>133235</xdr:colOff>
      <xdr:row>27</xdr:row>
      <xdr:rowOff>35788</xdr:rowOff>
    </xdr:from>
    <xdr:to>
      <xdr:col>0</xdr:col>
      <xdr:colOff>782191</xdr:colOff>
      <xdr:row>27</xdr:row>
      <xdr:rowOff>307931</xdr:rowOff>
    </xdr:to>
    <xdr:sp macro="" textlink="">
      <xdr:nvSpPr>
        <xdr:cNvPr id="39" name="Rectángulo redondead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70542DB-ACE1-0045-943E-4E9FD386DB08}"/>
            </a:ext>
          </a:extLst>
        </xdr:cNvPr>
        <xdr:cNvSpPr/>
      </xdr:nvSpPr>
      <xdr:spPr>
        <a:xfrm>
          <a:off x="133235" y="80748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FC-12</a:t>
          </a:r>
        </a:p>
      </xdr:txBody>
    </xdr:sp>
    <xdr:clientData/>
  </xdr:twoCellAnchor>
  <xdr:twoCellAnchor>
    <xdr:from>
      <xdr:col>0</xdr:col>
      <xdr:colOff>140663</xdr:colOff>
      <xdr:row>28</xdr:row>
      <xdr:rowOff>35788</xdr:rowOff>
    </xdr:from>
    <xdr:to>
      <xdr:col>0</xdr:col>
      <xdr:colOff>789619</xdr:colOff>
      <xdr:row>28</xdr:row>
      <xdr:rowOff>307931</xdr:rowOff>
    </xdr:to>
    <xdr:sp macro="" textlink="">
      <xdr:nvSpPr>
        <xdr:cNvPr id="40" name="Rectángulo redondead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A1E7BED-4002-5D46-ADC5-B9C0D00832B1}"/>
            </a:ext>
          </a:extLst>
        </xdr:cNvPr>
        <xdr:cNvSpPr/>
      </xdr:nvSpPr>
      <xdr:spPr>
        <a:xfrm>
          <a:off x="140663" y="83669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FC-13</a:t>
          </a:r>
        </a:p>
      </xdr:txBody>
    </xdr:sp>
    <xdr:clientData/>
  </xdr:twoCellAnchor>
  <xdr:twoCellAnchor>
    <xdr:from>
      <xdr:col>0</xdr:col>
      <xdr:colOff>140662</xdr:colOff>
      <xdr:row>29</xdr:row>
      <xdr:rowOff>28361</xdr:rowOff>
    </xdr:from>
    <xdr:to>
      <xdr:col>0</xdr:col>
      <xdr:colOff>789618</xdr:colOff>
      <xdr:row>29</xdr:row>
      <xdr:rowOff>300504</xdr:rowOff>
    </xdr:to>
    <xdr:sp macro="" textlink="">
      <xdr:nvSpPr>
        <xdr:cNvPr id="41" name="Rectángulo redondeado 4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318647C-CED7-BE4F-8567-35716800971D}"/>
            </a:ext>
          </a:extLst>
        </xdr:cNvPr>
        <xdr:cNvSpPr/>
      </xdr:nvSpPr>
      <xdr:spPr>
        <a:xfrm>
          <a:off x="140662" y="86516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FC-14</a:t>
          </a:r>
        </a:p>
      </xdr:txBody>
    </xdr:sp>
    <xdr:clientData/>
  </xdr:twoCellAnchor>
  <xdr:twoCellAnchor>
    <xdr:from>
      <xdr:col>0</xdr:col>
      <xdr:colOff>133235</xdr:colOff>
      <xdr:row>30</xdr:row>
      <xdr:rowOff>28361</xdr:rowOff>
    </xdr:from>
    <xdr:to>
      <xdr:col>0</xdr:col>
      <xdr:colOff>782191</xdr:colOff>
      <xdr:row>30</xdr:row>
      <xdr:rowOff>300504</xdr:rowOff>
    </xdr:to>
    <xdr:sp macro="" textlink="">
      <xdr:nvSpPr>
        <xdr:cNvPr id="42" name="Rectángulo redondeado 4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9DFAA17-4946-E54E-8E12-00FFB23A6665}"/>
            </a:ext>
          </a:extLst>
        </xdr:cNvPr>
        <xdr:cNvSpPr/>
      </xdr:nvSpPr>
      <xdr:spPr>
        <a:xfrm>
          <a:off x="133235" y="8943761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FC-15</a:t>
          </a:r>
        </a:p>
      </xdr:txBody>
    </xdr:sp>
    <xdr:clientData/>
  </xdr:twoCellAnchor>
  <xdr:twoCellAnchor>
    <xdr:from>
      <xdr:col>0</xdr:col>
      <xdr:colOff>133235</xdr:colOff>
      <xdr:row>31</xdr:row>
      <xdr:rowOff>35788</xdr:rowOff>
    </xdr:from>
    <xdr:to>
      <xdr:col>0</xdr:col>
      <xdr:colOff>782191</xdr:colOff>
      <xdr:row>31</xdr:row>
      <xdr:rowOff>307931</xdr:rowOff>
    </xdr:to>
    <xdr:sp macro="" textlink="">
      <xdr:nvSpPr>
        <xdr:cNvPr id="43" name="Rectángulo redondeado 4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6B29314-C355-A24A-A292-098F04777F16}"/>
            </a:ext>
          </a:extLst>
        </xdr:cNvPr>
        <xdr:cNvSpPr/>
      </xdr:nvSpPr>
      <xdr:spPr>
        <a:xfrm>
          <a:off x="133235" y="92432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FC-16</a:t>
          </a:r>
        </a:p>
      </xdr:txBody>
    </xdr:sp>
    <xdr:clientData/>
  </xdr:twoCellAnchor>
  <xdr:twoCellAnchor>
    <xdr:from>
      <xdr:col>0</xdr:col>
      <xdr:colOff>133236</xdr:colOff>
      <xdr:row>32</xdr:row>
      <xdr:rowOff>35788</xdr:rowOff>
    </xdr:from>
    <xdr:to>
      <xdr:col>0</xdr:col>
      <xdr:colOff>782192</xdr:colOff>
      <xdr:row>32</xdr:row>
      <xdr:rowOff>307931</xdr:rowOff>
    </xdr:to>
    <xdr:sp macro="" textlink="">
      <xdr:nvSpPr>
        <xdr:cNvPr id="44" name="Rectángulo redondeado 4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937C8FD-105E-1541-82BE-BFA16B360144}"/>
            </a:ext>
          </a:extLst>
        </xdr:cNvPr>
        <xdr:cNvSpPr/>
      </xdr:nvSpPr>
      <xdr:spPr>
        <a:xfrm>
          <a:off x="133236" y="9535388"/>
          <a:ext cx="648956" cy="2594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900" b="1">
              <a:latin typeface="Arial" panose="020B0604020202020204" pitchFamily="34" charset="0"/>
              <a:cs typeface="Arial" panose="020B0604020202020204" pitchFamily="34" charset="0"/>
            </a:rPr>
            <a:t>FC-16.1</a:t>
          </a:r>
        </a:p>
      </xdr:txBody>
    </xdr:sp>
    <xdr:clientData/>
  </xdr:twoCellAnchor>
  <xdr:twoCellAnchor>
    <xdr:from>
      <xdr:col>0</xdr:col>
      <xdr:colOff>133235</xdr:colOff>
      <xdr:row>33</xdr:row>
      <xdr:rowOff>43214</xdr:rowOff>
    </xdr:from>
    <xdr:to>
      <xdr:col>0</xdr:col>
      <xdr:colOff>782191</xdr:colOff>
      <xdr:row>33</xdr:row>
      <xdr:rowOff>315357</xdr:rowOff>
    </xdr:to>
    <xdr:sp macro="" textlink="">
      <xdr:nvSpPr>
        <xdr:cNvPr id="45" name="Rectángulo redondeado 4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FCF79EE-C8AA-3F47-8919-C74A8835C5EC}"/>
            </a:ext>
          </a:extLst>
        </xdr:cNvPr>
        <xdr:cNvSpPr/>
      </xdr:nvSpPr>
      <xdr:spPr>
        <a:xfrm>
          <a:off x="133235" y="9834914"/>
          <a:ext cx="648956" cy="2467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FC-17</a:t>
          </a:r>
        </a:p>
      </xdr:txBody>
    </xdr:sp>
    <xdr:clientData/>
  </xdr:twoCellAnchor>
  <xdr:twoCellAnchor>
    <xdr:from>
      <xdr:col>0</xdr:col>
      <xdr:colOff>133236</xdr:colOff>
      <xdr:row>35</xdr:row>
      <xdr:rowOff>13507</xdr:rowOff>
    </xdr:from>
    <xdr:to>
      <xdr:col>0</xdr:col>
      <xdr:colOff>782192</xdr:colOff>
      <xdr:row>35</xdr:row>
      <xdr:rowOff>285650</xdr:rowOff>
    </xdr:to>
    <xdr:sp macro="" textlink="">
      <xdr:nvSpPr>
        <xdr:cNvPr id="46" name="Rectángulo redondeado 4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C62CDBEF-06B8-B14D-928B-62842CDF79C1}"/>
            </a:ext>
          </a:extLst>
        </xdr:cNvPr>
        <xdr:cNvSpPr/>
      </xdr:nvSpPr>
      <xdr:spPr>
        <a:xfrm>
          <a:off x="133236" y="10389407"/>
          <a:ext cx="648956" cy="2721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ES_tradnl" sz="1000" b="1">
              <a:latin typeface="Arial" panose="020B0604020202020204" pitchFamily="34" charset="0"/>
              <a:cs typeface="Arial" panose="020B0604020202020204" pitchFamily="34" charset="0"/>
            </a:rPr>
            <a:t>FC-90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K165"/>
  <sheetViews>
    <sheetView zoomScale="108" workbookViewId="0">
      <selection activeCell="D13" sqref="D13:M13"/>
    </sheetView>
  </sheetViews>
  <sheetFormatPr baseColWidth="10" defaultColWidth="10.6640625" defaultRowHeight="15"/>
  <cols>
    <col min="1" max="1" width="3.109375" style="3" customWidth="1"/>
    <col min="2" max="2" width="3.44140625" style="2" customWidth="1"/>
    <col min="3" max="3" width="18" style="3" customWidth="1"/>
    <col min="4" max="13" width="10.6640625" style="3"/>
    <col min="14" max="14" width="3.109375" style="2" customWidth="1"/>
    <col min="15" max="17" width="10.6640625" style="2"/>
    <col min="18" max="16384" width="10.6640625" style="3"/>
  </cols>
  <sheetData>
    <row r="1" spans="2:37" s="2" customFormat="1" ht="23.1" customHeight="1"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</row>
    <row r="2" spans="2:37" s="2" customFormat="1" ht="23.1" customHeight="1">
      <c r="B2" s="369"/>
      <c r="C2" s="369"/>
      <c r="D2" s="632" t="s">
        <v>0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</row>
    <row r="3" spans="2:37" s="2" customFormat="1" ht="23.1" customHeight="1">
      <c r="B3" s="369"/>
      <c r="C3" s="369"/>
      <c r="D3" s="347" t="s">
        <v>1</v>
      </c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</row>
    <row r="4" spans="2:37" s="2" customFormat="1" ht="23.1" customHeight="1" thickBo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</row>
    <row r="5" spans="2:37" s="2" customFormat="1" ht="9" customHeight="1">
      <c r="B5" s="963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5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</row>
    <row r="6" spans="2:37" s="2" customFormat="1" ht="30" customHeight="1">
      <c r="B6" s="966"/>
      <c r="C6" s="1" t="s">
        <v>2</v>
      </c>
      <c r="D6" s="369"/>
      <c r="E6" s="369"/>
      <c r="F6" s="369"/>
      <c r="G6" s="369"/>
      <c r="H6" s="369"/>
      <c r="I6" s="369"/>
      <c r="J6" s="369"/>
      <c r="K6" s="369"/>
      <c r="L6" s="369"/>
      <c r="M6" s="1140">
        <f>ejercicio</f>
        <v>2022</v>
      </c>
      <c r="N6" s="967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</row>
    <row r="7" spans="2:37" s="2" customFormat="1" ht="30" customHeight="1">
      <c r="B7" s="966"/>
      <c r="C7" s="1" t="s">
        <v>3</v>
      </c>
      <c r="D7" s="369"/>
      <c r="E7" s="369"/>
      <c r="F7" s="369"/>
      <c r="G7" s="369"/>
      <c r="H7" s="369"/>
      <c r="I7" s="369"/>
      <c r="J7" s="369"/>
      <c r="K7" s="968"/>
      <c r="L7" s="369"/>
      <c r="M7" s="1140"/>
      <c r="N7" s="967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</row>
    <row r="8" spans="2:37" s="2" customFormat="1" ht="30" customHeight="1">
      <c r="B8" s="966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967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</row>
    <row r="9" spans="2:37" s="2" customFormat="1" ht="30" customHeight="1">
      <c r="B9" s="966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967"/>
      <c r="O9" s="369"/>
      <c r="P9" s="369"/>
      <c r="Q9" s="370"/>
      <c r="R9" s="370"/>
      <c r="S9" s="370"/>
      <c r="T9" s="370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</row>
    <row r="10" spans="2:37" s="2" customFormat="1" ht="6.95" customHeight="1">
      <c r="B10" s="966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967"/>
      <c r="O10" s="369"/>
      <c r="P10" s="369"/>
      <c r="Q10" s="370"/>
      <c r="R10" s="370"/>
      <c r="S10" s="370"/>
      <c r="T10" s="370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</row>
    <row r="11" spans="2:37" ht="30" customHeight="1">
      <c r="B11" s="966"/>
      <c r="C11" s="4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967"/>
      <c r="O11" s="969"/>
      <c r="P11" s="369"/>
      <c r="Q11" s="370"/>
      <c r="R11" s="370"/>
      <c r="S11" s="370"/>
      <c r="T11" s="370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</row>
    <row r="12" spans="2:37" s="2" customFormat="1" ht="30" customHeight="1">
      <c r="B12" s="966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967"/>
      <c r="O12" s="369"/>
      <c r="P12" s="369"/>
      <c r="Q12" s="370"/>
      <c r="R12" s="370"/>
      <c r="S12" s="370"/>
      <c r="T12" s="370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</row>
    <row r="13" spans="2:37" s="6" customFormat="1" ht="30" customHeight="1">
      <c r="B13" s="966"/>
      <c r="C13" s="147" t="s">
        <v>5</v>
      </c>
      <c r="D13" s="1141" t="s">
        <v>6</v>
      </c>
      <c r="E13" s="1142"/>
      <c r="F13" s="1142"/>
      <c r="G13" s="1142"/>
      <c r="H13" s="1142"/>
      <c r="I13" s="1142"/>
      <c r="J13" s="1142"/>
      <c r="K13" s="1142"/>
      <c r="L13" s="1142"/>
      <c r="M13" s="1143"/>
      <c r="N13" s="967"/>
      <c r="O13" s="347"/>
      <c r="P13" s="347"/>
      <c r="Q13" s="371"/>
      <c r="R13" s="371"/>
      <c r="S13" s="371"/>
      <c r="T13" s="371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</row>
    <row r="14" spans="2:37" s="6" customFormat="1" ht="30" customHeight="1">
      <c r="B14" s="966"/>
      <c r="C14" s="147" t="s">
        <v>7</v>
      </c>
      <c r="D14" s="1141" t="s">
        <v>8</v>
      </c>
      <c r="E14" s="1142"/>
      <c r="F14" s="1143"/>
      <c r="G14" s="698"/>
      <c r="H14" s="698"/>
      <c r="I14" s="698"/>
      <c r="J14" s="698"/>
      <c r="K14" s="698"/>
      <c r="L14" s="698"/>
      <c r="M14" s="698"/>
      <c r="N14" s="967"/>
      <c r="O14" s="347"/>
      <c r="P14" s="347"/>
      <c r="Q14" s="371"/>
      <c r="R14" s="371"/>
      <c r="S14" s="699" t="s">
        <v>8</v>
      </c>
      <c r="T14" s="372" t="s">
        <v>9</v>
      </c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</row>
    <row r="15" spans="2:37" s="6" customFormat="1" ht="30" customHeight="1">
      <c r="B15" s="966"/>
      <c r="C15" s="147" t="s">
        <v>10</v>
      </c>
      <c r="D15" s="1141" t="s">
        <v>11</v>
      </c>
      <c r="E15" s="1142"/>
      <c r="F15" s="1143"/>
      <c r="G15" s="698"/>
      <c r="H15" s="698"/>
      <c r="I15" s="698"/>
      <c r="J15" s="698"/>
      <c r="K15" s="698"/>
      <c r="L15" s="698"/>
      <c r="M15" s="698"/>
      <c r="N15" s="967"/>
      <c r="O15" s="347"/>
      <c r="P15" s="347"/>
      <c r="Q15" s="371"/>
      <c r="R15" s="371"/>
      <c r="S15" s="699" t="s">
        <v>12</v>
      </c>
      <c r="T15" s="372" t="s">
        <v>11</v>
      </c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</row>
    <row r="16" spans="2:37" s="2" customFormat="1" ht="30" customHeight="1">
      <c r="B16" s="966"/>
      <c r="C16" s="147" t="s">
        <v>13</v>
      </c>
      <c r="D16" s="700">
        <v>2022</v>
      </c>
      <c r="E16" s="369"/>
      <c r="F16" s="369"/>
      <c r="G16" s="369"/>
      <c r="H16" s="369"/>
      <c r="I16" s="369"/>
      <c r="J16" s="369"/>
      <c r="K16" s="369"/>
      <c r="L16" s="369"/>
      <c r="M16" s="369"/>
      <c r="N16" s="967"/>
      <c r="O16" s="369"/>
      <c r="P16" s="369"/>
      <c r="Q16" s="370"/>
      <c r="R16" s="370"/>
      <c r="S16" s="372"/>
      <c r="T16" s="370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</row>
    <row r="17" spans="2:25" s="2" customFormat="1" ht="30" customHeight="1">
      <c r="B17" s="966"/>
      <c r="C17" s="1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967"/>
      <c r="O17" s="369"/>
      <c r="P17" s="369"/>
      <c r="Q17" s="370"/>
      <c r="R17" s="370"/>
      <c r="S17" s="370"/>
      <c r="T17" s="370"/>
      <c r="U17" s="369"/>
      <c r="V17" s="369"/>
      <c r="W17" s="369"/>
      <c r="X17" s="369"/>
      <c r="Y17" s="369"/>
    </row>
    <row r="18" spans="2:25" s="2" customFormat="1" ht="30" customHeight="1">
      <c r="B18" s="966"/>
      <c r="C18" s="148" t="s">
        <v>14</v>
      </c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67"/>
      <c r="O18" s="369"/>
      <c r="P18" s="369"/>
      <c r="Q18" s="370"/>
      <c r="R18" s="370"/>
      <c r="S18" s="370"/>
      <c r="T18" s="370"/>
      <c r="U18" s="369"/>
      <c r="V18" s="369"/>
      <c r="W18" s="369"/>
      <c r="X18" s="369"/>
      <c r="Y18" s="369"/>
    </row>
    <row r="19" spans="2:25" s="2" customFormat="1" ht="9" customHeight="1">
      <c r="B19" s="966"/>
      <c r="C19" s="1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67"/>
      <c r="O19" s="369"/>
      <c r="P19" s="369"/>
      <c r="Q19" s="370"/>
      <c r="R19" s="370"/>
      <c r="S19" s="370"/>
      <c r="T19" s="370"/>
      <c r="U19" s="369"/>
      <c r="V19" s="369"/>
      <c r="W19" s="369"/>
      <c r="X19" s="369"/>
      <c r="Y19" s="369"/>
    </row>
    <row r="20" spans="2:25" s="2" customFormat="1" ht="24.95" customHeight="1">
      <c r="B20" s="966"/>
      <c r="C20" s="604"/>
      <c r="D20" s="347" t="s">
        <v>15</v>
      </c>
      <c r="E20" s="632"/>
      <c r="F20" s="970"/>
      <c r="G20" s="970"/>
      <c r="H20" s="970"/>
      <c r="I20" s="970"/>
      <c r="J20" s="970"/>
      <c r="K20" s="970"/>
      <c r="L20" s="970"/>
      <c r="M20" s="970"/>
      <c r="N20" s="967"/>
      <c r="O20" s="369"/>
      <c r="P20" s="369"/>
      <c r="Q20" s="370"/>
      <c r="R20" s="370"/>
      <c r="S20" s="370"/>
      <c r="T20" s="370"/>
      <c r="U20" s="369"/>
      <c r="V20" s="369"/>
      <c r="W20" s="369"/>
      <c r="X20" s="369"/>
      <c r="Y20" s="369"/>
    </row>
    <row r="21" spans="2:25" s="2" customFormat="1" ht="24.95" customHeight="1">
      <c r="B21" s="966"/>
      <c r="C21" s="347"/>
      <c r="D21" s="347" t="s">
        <v>16</v>
      </c>
      <c r="E21" s="632"/>
      <c r="F21" s="970"/>
      <c r="G21" s="970"/>
      <c r="H21" s="970"/>
      <c r="I21" s="970"/>
      <c r="J21" s="970"/>
      <c r="K21" s="970"/>
      <c r="L21" s="970"/>
      <c r="M21" s="970"/>
      <c r="N21" s="967"/>
      <c r="O21" s="369"/>
      <c r="P21" s="369"/>
      <c r="Q21" s="370"/>
      <c r="R21" s="370"/>
      <c r="S21" s="370"/>
      <c r="T21" s="370"/>
      <c r="U21" s="369"/>
      <c r="V21" s="369"/>
      <c r="W21" s="369"/>
      <c r="X21" s="369"/>
      <c r="Y21" s="369"/>
    </row>
    <row r="22" spans="2:25" s="2" customFormat="1" ht="24.95" customHeight="1">
      <c r="B22" s="966"/>
      <c r="C22" s="347"/>
      <c r="D22" s="347" t="s">
        <v>17</v>
      </c>
      <c r="E22" s="347"/>
      <c r="F22" s="369"/>
      <c r="G22" s="369"/>
      <c r="H22" s="369"/>
      <c r="I22" s="369"/>
      <c r="J22" s="369"/>
      <c r="K22" s="369"/>
      <c r="L22" s="369"/>
      <c r="M22" s="369"/>
      <c r="N22" s="967"/>
      <c r="O22" s="369"/>
      <c r="P22" s="369"/>
      <c r="Q22" s="370"/>
      <c r="R22" s="370"/>
      <c r="S22" s="370"/>
      <c r="T22" s="370"/>
      <c r="U22" s="369"/>
      <c r="V22" s="369"/>
      <c r="W22" s="369"/>
      <c r="X22" s="369"/>
      <c r="Y22" s="369"/>
    </row>
    <row r="23" spans="2:25" s="2" customFormat="1" ht="24.95" customHeight="1">
      <c r="B23" s="966"/>
      <c r="C23" s="347"/>
      <c r="D23" s="347" t="s">
        <v>18</v>
      </c>
      <c r="E23" s="347"/>
      <c r="F23" s="369"/>
      <c r="G23" s="369"/>
      <c r="H23" s="369"/>
      <c r="I23" s="369"/>
      <c r="J23" s="369"/>
      <c r="K23" s="369"/>
      <c r="L23" s="369"/>
      <c r="M23" s="369"/>
      <c r="N23" s="967"/>
      <c r="O23" s="369"/>
      <c r="P23" s="369"/>
      <c r="Q23" s="370"/>
      <c r="R23" s="370"/>
      <c r="S23" s="370"/>
      <c r="T23" s="370"/>
      <c r="U23" s="369"/>
      <c r="V23" s="369"/>
      <c r="W23" s="369"/>
      <c r="X23" s="369"/>
      <c r="Y23" s="369"/>
    </row>
    <row r="24" spans="2:25" s="2" customFormat="1" ht="24.95" customHeight="1">
      <c r="B24" s="966"/>
      <c r="C24" s="347"/>
      <c r="D24" s="347" t="s">
        <v>19</v>
      </c>
      <c r="E24" s="347"/>
      <c r="F24" s="369"/>
      <c r="G24" s="369"/>
      <c r="H24" s="369"/>
      <c r="I24" s="369"/>
      <c r="J24" s="369"/>
      <c r="K24" s="369"/>
      <c r="L24" s="369"/>
      <c r="M24" s="369"/>
      <c r="N24" s="967"/>
      <c r="O24" s="369"/>
      <c r="P24" s="369"/>
      <c r="Q24" s="370"/>
      <c r="R24" s="370"/>
      <c r="S24" s="370"/>
      <c r="T24" s="370"/>
      <c r="U24" s="369"/>
      <c r="V24" s="369"/>
      <c r="W24" s="369"/>
      <c r="X24" s="369"/>
      <c r="Y24" s="369"/>
    </row>
    <row r="25" spans="2:25" s="2" customFormat="1" ht="24.95" customHeight="1">
      <c r="B25" s="966"/>
      <c r="C25" s="347"/>
      <c r="D25" s="347" t="s">
        <v>20</v>
      </c>
      <c r="E25" s="347"/>
      <c r="F25" s="369"/>
      <c r="G25" s="369"/>
      <c r="H25" s="369"/>
      <c r="I25" s="369"/>
      <c r="J25" s="369"/>
      <c r="K25" s="369"/>
      <c r="L25" s="369"/>
      <c r="M25" s="369"/>
      <c r="N25" s="967"/>
      <c r="O25" s="369"/>
      <c r="P25" s="369"/>
      <c r="Q25" s="370"/>
      <c r="R25" s="370"/>
      <c r="S25" s="370"/>
      <c r="T25" s="370"/>
      <c r="U25" s="369"/>
      <c r="V25" s="369"/>
      <c r="W25" s="369"/>
      <c r="X25" s="369"/>
      <c r="Y25" s="369"/>
    </row>
    <row r="26" spans="2:25" s="2" customFormat="1" ht="24.95" customHeight="1">
      <c r="B26" s="966"/>
      <c r="C26" s="347"/>
      <c r="D26" s="347" t="s">
        <v>21</v>
      </c>
      <c r="E26" s="347"/>
      <c r="F26" s="369"/>
      <c r="G26" s="369"/>
      <c r="H26" s="369"/>
      <c r="I26" s="369"/>
      <c r="J26" s="369"/>
      <c r="K26" s="369"/>
      <c r="L26" s="369"/>
      <c r="M26" s="369"/>
      <c r="N26" s="967"/>
      <c r="O26" s="369"/>
      <c r="P26" s="369"/>
      <c r="Q26" s="370"/>
      <c r="R26" s="370"/>
      <c r="S26" s="370"/>
      <c r="T26" s="370"/>
      <c r="U26" s="369"/>
      <c r="V26" s="369"/>
      <c r="W26" s="369"/>
      <c r="X26" s="369"/>
      <c r="Y26" s="369"/>
    </row>
    <row r="27" spans="2:25" s="2" customFormat="1" ht="24.95" customHeight="1">
      <c r="B27" s="966"/>
      <c r="C27" s="347"/>
      <c r="D27" s="347" t="s">
        <v>22</v>
      </c>
      <c r="E27" s="347"/>
      <c r="F27" s="369"/>
      <c r="G27" s="369"/>
      <c r="H27" s="369"/>
      <c r="I27" s="369"/>
      <c r="J27" s="369"/>
      <c r="K27" s="369"/>
      <c r="L27" s="369"/>
      <c r="M27" s="369"/>
      <c r="N27" s="967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</row>
    <row r="28" spans="2:25" s="2" customFormat="1" ht="24.95" customHeight="1">
      <c r="B28" s="966"/>
      <c r="C28" s="347"/>
      <c r="D28" s="347" t="s">
        <v>23</v>
      </c>
      <c r="E28" s="347"/>
      <c r="F28" s="369"/>
      <c r="G28" s="369"/>
      <c r="H28" s="369"/>
      <c r="I28" s="369"/>
      <c r="J28" s="369"/>
      <c r="K28" s="369"/>
      <c r="L28" s="369"/>
      <c r="M28" s="369"/>
      <c r="N28" s="967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</row>
    <row r="29" spans="2:25" s="2" customFormat="1" ht="24.95" customHeight="1">
      <c r="B29" s="966"/>
      <c r="C29" s="347"/>
      <c r="D29" s="347" t="s">
        <v>24</v>
      </c>
      <c r="E29" s="347"/>
      <c r="F29" s="369"/>
      <c r="G29" s="369"/>
      <c r="H29" s="369"/>
      <c r="I29" s="369"/>
      <c r="J29" s="369"/>
      <c r="K29" s="369"/>
      <c r="L29" s="369"/>
      <c r="M29" s="369"/>
      <c r="N29" s="967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</row>
    <row r="30" spans="2:25" s="2" customFormat="1" ht="24.95" customHeight="1">
      <c r="B30" s="966"/>
      <c r="C30" s="347"/>
      <c r="D30" s="347" t="s">
        <v>25</v>
      </c>
      <c r="E30" s="347"/>
      <c r="F30" s="369"/>
      <c r="G30" s="369"/>
      <c r="H30" s="369"/>
      <c r="I30" s="369"/>
      <c r="J30" s="369"/>
      <c r="K30" s="369"/>
      <c r="L30" s="369"/>
      <c r="M30" s="369"/>
      <c r="N30" s="967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</row>
    <row r="31" spans="2:25" s="2" customFormat="1" ht="24.95" customHeight="1">
      <c r="B31" s="966"/>
      <c r="C31" s="347"/>
      <c r="D31" s="347" t="s">
        <v>26</v>
      </c>
      <c r="E31" s="347"/>
      <c r="F31" s="369"/>
      <c r="G31" s="369"/>
      <c r="H31" s="369"/>
      <c r="I31" s="369"/>
      <c r="J31" s="369"/>
      <c r="K31" s="369"/>
      <c r="L31" s="369"/>
      <c r="M31" s="369"/>
      <c r="N31" s="967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</row>
    <row r="32" spans="2:25" s="2" customFormat="1" ht="24.95" customHeight="1">
      <c r="B32" s="966"/>
      <c r="C32" s="347"/>
      <c r="D32" s="347" t="s">
        <v>27</v>
      </c>
      <c r="E32" s="347"/>
      <c r="F32" s="369"/>
      <c r="G32" s="369"/>
      <c r="H32" s="369"/>
      <c r="I32" s="369"/>
      <c r="J32" s="369"/>
      <c r="K32" s="369"/>
      <c r="L32" s="369"/>
      <c r="M32" s="369"/>
      <c r="N32" s="967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</row>
    <row r="33" spans="2:25" s="2" customFormat="1" ht="24.95" customHeight="1">
      <c r="B33" s="966"/>
      <c r="C33" s="347"/>
      <c r="D33" s="347" t="s">
        <v>28</v>
      </c>
      <c r="E33" s="347"/>
      <c r="F33" s="369"/>
      <c r="G33" s="369"/>
      <c r="H33" s="369"/>
      <c r="I33" s="369"/>
      <c r="J33" s="369"/>
      <c r="K33" s="369"/>
      <c r="L33" s="369"/>
      <c r="M33" s="369"/>
      <c r="N33" s="967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</row>
    <row r="34" spans="2:25" s="2" customFormat="1" ht="24.95" customHeight="1">
      <c r="B34" s="966"/>
      <c r="C34" s="347"/>
      <c r="D34" s="347" t="s">
        <v>29</v>
      </c>
      <c r="E34" s="347"/>
      <c r="F34" s="369"/>
      <c r="G34" s="369"/>
      <c r="H34" s="369"/>
      <c r="I34" s="369"/>
      <c r="J34" s="369"/>
      <c r="K34" s="369"/>
      <c r="L34" s="369"/>
      <c r="M34" s="369"/>
      <c r="N34" s="967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</row>
    <row r="35" spans="2:25" s="2" customFormat="1" ht="24.95" customHeight="1">
      <c r="B35" s="966"/>
      <c r="C35" s="347"/>
      <c r="D35" s="347" t="s">
        <v>30</v>
      </c>
      <c r="E35" s="347"/>
      <c r="F35" s="369"/>
      <c r="G35" s="369"/>
      <c r="H35" s="369"/>
      <c r="I35" s="369"/>
      <c r="J35" s="369"/>
      <c r="K35" s="369"/>
      <c r="L35" s="369"/>
      <c r="M35" s="369"/>
      <c r="N35" s="967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</row>
    <row r="36" spans="2:25" s="2" customFormat="1" ht="24.95" customHeight="1">
      <c r="B36" s="966"/>
      <c r="C36" s="347"/>
      <c r="D36" s="347" t="s">
        <v>31</v>
      </c>
      <c r="E36" s="347"/>
      <c r="F36" s="369"/>
      <c r="G36" s="369"/>
      <c r="H36" s="369"/>
      <c r="I36" s="369"/>
      <c r="J36" s="369"/>
      <c r="K36" s="369"/>
      <c r="L36" s="369"/>
      <c r="M36" s="369"/>
      <c r="N36" s="967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</row>
    <row r="37" spans="2:25" s="2" customFormat="1" ht="24.95" customHeight="1">
      <c r="B37" s="966"/>
      <c r="C37" s="347"/>
      <c r="D37" s="347" t="s">
        <v>32</v>
      </c>
      <c r="E37" s="347"/>
      <c r="F37" s="369"/>
      <c r="G37" s="369"/>
      <c r="H37" s="369"/>
      <c r="I37" s="369"/>
      <c r="J37" s="369"/>
      <c r="K37" s="369"/>
      <c r="L37" s="369"/>
      <c r="M37" s="369"/>
      <c r="N37" s="967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</row>
    <row r="38" spans="2:25" s="2" customFormat="1" ht="24.95" customHeight="1">
      <c r="B38" s="966"/>
      <c r="C38" s="347"/>
      <c r="D38" s="347" t="s">
        <v>33</v>
      </c>
      <c r="E38" s="347"/>
      <c r="F38" s="369"/>
      <c r="G38" s="369"/>
      <c r="H38" s="369"/>
      <c r="I38" s="369"/>
      <c r="J38" s="369"/>
      <c r="K38" s="369"/>
      <c r="L38" s="369"/>
      <c r="M38" s="369"/>
      <c r="N38" s="967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</row>
    <row r="39" spans="2:25" s="2" customFormat="1" ht="24.95" customHeight="1">
      <c r="B39" s="966"/>
      <c r="C39" s="347"/>
      <c r="D39" s="347" t="s">
        <v>34</v>
      </c>
      <c r="E39" s="347"/>
      <c r="F39" s="369"/>
      <c r="G39" s="369"/>
      <c r="H39" s="369"/>
      <c r="I39" s="369"/>
      <c r="J39" s="369"/>
      <c r="K39" s="369"/>
      <c r="L39" s="369"/>
      <c r="M39" s="369"/>
      <c r="N39" s="967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</row>
    <row r="40" spans="2:25" s="2" customFormat="1" ht="24.95" customHeight="1">
      <c r="B40" s="966"/>
      <c r="C40" s="347"/>
      <c r="D40" s="347" t="s">
        <v>35</v>
      </c>
      <c r="E40" s="369"/>
      <c r="F40" s="369"/>
      <c r="G40" s="369"/>
      <c r="H40" s="369"/>
      <c r="I40" s="369"/>
      <c r="J40" s="369"/>
      <c r="K40" s="369"/>
      <c r="L40" s="369"/>
      <c r="M40" s="369"/>
      <c r="N40" s="967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</row>
    <row r="41" spans="2:25" s="2" customFormat="1" ht="24.95" customHeight="1">
      <c r="B41" s="966"/>
      <c r="C41" s="347"/>
      <c r="D41" s="347"/>
      <c r="E41" s="369"/>
      <c r="F41" s="369"/>
      <c r="G41" s="369"/>
      <c r="H41" s="369"/>
      <c r="I41" s="369"/>
      <c r="J41" s="369"/>
      <c r="K41" s="369"/>
      <c r="L41" s="369"/>
      <c r="M41" s="369"/>
      <c r="N41" s="967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</row>
    <row r="42" spans="2:25" s="2" customFormat="1" ht="24.95" customHeight="1">
      <c r="B42" s="966"/>
      <c r="C42" s="347"/>
      <c r="D42" s="347" t="s">
        <v>36</v>
      </c>
      <c r="E42" s="369"/>
      <c r="F42" s="369"/>
      <c r="G42" s="369"/>
      <c r="H42" s="369"/>
      <c r="I42" s="369"/>
      <c r="J42" s="369"/>
      <c r="K42" s="369"/>
      <c r="L42" s="369"/>
      <c r="M42" s="369"/>
      <c r="N42" s="967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</row>
    <row r="43" spans="2:25" s="2" customFormat="1" ht="24.95" customHeight="1">
      <c r="B43" s="966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967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</row>
    <row r="44" spans="2:25" s="2" customFormat="1" ht="24.95" customHeight="1">
      <c r="B44" s="966"/>
      <c r="C44" s="148" t="s">
        <v>37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67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</row>
    <row r="45" spans="2:25" s="2" customFormat="1" ht="24.95" customHeight="1">
      <c r="B45" s="966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967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</row>
    <row r="46" spans="2:25" s="2" customFormat="1" ht="24.95" customHeight="1">
      <c r="B46" s="966"/>
      <c r="C46" s="369" t="s">
        <v>38</v>
      </c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967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</row>
    <row r="47" spans="2:25" s="2" customFormat="1" ht="30" customHeight="1" thickBot="1">
      <c r="B47" s="972"/>
      <c r="C47" s="973"/>
      <c r="D47" s="973"/>
      <c r="E47" s="973"/>
      <c r="F47" s="973"/>
      <c r="G47" s="973"/>
      <c r="H47" s="973"/>
      <c r="I47" s="973"/>
      <c r="J47" s="973"/>
      <c r="K47" s="973"/>
      <c r="L47" s="973"/>
      <c r="M47" s="973"/>
      <c r="N47" s="974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</row>
    <row r="48" spans="2:25" s="2" customFormat="1" ht="30" customHeight="1"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</row>
    <row r="49" spans="3:13" s="24" customFormat="1" ht="12.75">
      <c r="C49" s="20" t="s">
        <v>39</v>
      </c>
      <c r="G49" s="25"/>
      <c r="M49" s="23" t="s">
        <v>40</v>
      </c>
    </row>
    <row r="50" spans="3:13" s="24" customFormat="1" ht="12.75">
      <c r="C50" s="20" t="s">
        <v>41</v>
      </c>
      <c r="G50" s="25"/>
    </row>
    <row r="51" spans="3:13" s="24" customFormat="1" ht="12.75">
      <c r="C51" s="20" t="s">
        <v>42</v>
      </c>
      <c r="G51" s="25"/>
    </row>
    <row r="52" spans="3:13" s="24" customFormat="1" ht="12.75">
      <c r="C52" s="20" t="s">
        <v>43</v>
      </c>
      <c r="G52" s="25"/>
    </row>
    <row r="53" spans="3:13" s="24" customFormat="1" ht="12.75">
      <c r="C53" s="20" t="s">
        <v>44</v>
      </c>
      <c r="G53" s="25"/>
    </row>
    <row r="54" spans="3:13" s="2" customFormat="1" ht="30" customHeight="1"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</row>
    <row r="55" spans="3:13" s="2" customFormat="1" ht="30" customHeight="1"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</row>
    <row r="56" spans="3:13" s="2" customFormat="1" ht="30" customHeight="1"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</row>
    <row r="57" spans="3:13" s="2" customFormat="1" ht="30" customHeight="1"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</row>
    <row r="58" spans="3:13" s="2" customFormat="1" ht="30" customHeight="1"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</row>
    <row r="59" spans="3:13" s="2" customFormat="1" ht="30" customHeight="1"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</row>
    <row r="60" spans="3:13" s="2" customFormat="1" ht="30" customHeight="1"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</row>
    <row r="61" spans="3:13" s="2" customFormat="1" ht="30" customHeight="1"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</row>
    <row r="62" spans="3:13" s="2" customFormat="1" ht="30" customHeight="1"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</row>
    <row r="63" spans="3:13" s="2" customFormat="1" ht="30" customHeight="1"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</row>
    <row r="64" spans="3:13" s="2" customFormat="1" ht="30" customHeight="1"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</row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algorithmName="SHA-512" hashValue="FLAldU539tLOWFO1nbWeVmG0h95oHENkHZtbxtcr22wlVsA3NZ0kyh530uNaWk1OT82ugq6berR+4DJ5fo1ONA==" saltValue="nUQgvyQ+hiSjspF60Z8LKA==" spinCount="100000" sheet="1" objects="1" scenarios="1"/>
  <mergeCells count="5">
    <mergeCell ref="M6:M7"/>
    <mergeCell ref="D13:M13"/>
    <mergeCell ref="D17:M17"/>
    <mergeCell ref="D14:F14"/>
    <mergeCell ref="D15:F15"/>
  </mergeCells>
  <phoneticPr fontId="16" type="noConversion"/>
  <dataValidations count="2">
    <dataValidation type="list" allowBlank="1" showInputMessage="1" showErrorMessage="1" sqref="D15:F15" xr:uid="{00000000-0002-0000-0000-000000000000}">
      <formula1>$S$15:$T$15</formula1>
    </dataValidation>
    <dataValidation type="list" allowBlank="1" showInputMessage="1" showErrorMessage="1" sqref="D14:F14" xr:uid="{00000000-0002-0000-0000-000001000000}">
      <formula1>$S$14:$T$14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2:AF69"/>
  <sheetViews>
    <sheetView topLeftCell="A8" zoomScale="55" zoomScaleNormal="55" zoomScalePageLayoutView="125" workbookViewId="0">
      <selection activeCell="L34" sqref="L34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23.109375" style="32" customWidth="1"/>
    <col min="6" max="15" width="13.44140625" style="33" customWidth="1"/>
    <col min="16" max="16" width="40.6640625" style="33" customWidth="1"/>
    <col min="17" max="17" width="3.33203125" style="32" customWidth="1"/>
    <col min="18" max="16384" width="10.6640625" style="32"/>
  </cols>
  <sheetData>
    <row r="2" spans="1:32" ht="23.1" customHeight="1">
      <c r="A2" s="369"/>
      <c r="E2" s="347" t="str">
        <f>_GENERAL!D2</f>
        <v>Área de Presidencia, Hacienda y Modernización</v>
      </c>
    </row>
    <row r="3" spans="1:32" ht="23.1" customHeight="1">
      <c r="A3" s="369"/>
      <c r="E3" s="347" t="str">
        <f>_GENERAL!D3</f>
        <v>Dirección Insular de Hacienda</v>
      </c>
    </row>
    <row r="4" spans="1:32" ht="23.1" customHeight="1" thickBot="1">
      <c r="A4" s="369"/>
      <c r="B4" s="32" t="s">
        <v>100</v>
      </c>
    </row>
    <row r="5" spans="1:32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S5" s="757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8"/>
      <c r="AF5" s="759"/>
    </row>
    <row r="6" spans="1:32" ht="30" customHeight="1">
      <c r="A6" s="975"/>
      <c r="C6" s="38"/>
      <c r="D6" s="29" t="s">
        <v>2</v>
      </c>
      <c r="P6" s="1140">
        <f>ejercicio</f>
        <v>2022</v>
      </c>
      <c r="Q6" s="39"/>
      <c r="S6" s="174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7"/>
    </row>
    <row r="7" spans="1:32" ht="30" customHeight="1">
      <c r="A7" s="975"/>
      <c r="C7" s="38"/>
      <c r="D7" s="29" t="s">
        <v>3</v>
      </c>
      <c r="P7" s="1140"/>
      <c r="Q7" s="39"/>
      <c r="S7" s="178"/>
      <c r="T7" s="175" t="s">
        <v>101</v>
      </c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80"/>
    </row>
    <row r="8" spans="1:32" ht="30" customHeight="1">
      <c r="A8" s="975"/>
      <c r="C8" s="38"/>
      <c r="D8" s="40"/>
      <c r="P8" s="41"/>
      <c r="Q8" s="39"/>
      <c r="S8" s="777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9"/>
    </row>
    <row r="9" spans="1:32" s="27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936"/>
      <c r="R9" s="970"/>
      <c r="S9" s="780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2"/>
    </row>
    <row r="10" spans="1:32" ht="6.95" customHeight="1">
      <c r="A10" s="975"/>
      <c r="C10" s="38"/>
      <c r="Q10" s="39"/>
      <c r="S10" s="780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1"/>
      <c r="AE10" s="781"/>
      <c r="AF10" s="782"/>
    </row>
    <row r="11" spans="1:32" s="46" customFormat="1" ht="30" customHeight="1">
      <c r="A11" s="901"/>
      <c r="C11" s="42"/>
      <c r="D11" s="43" t="s">
        <v>458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S11" s="780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2"/>
    </row>
    <row r="12" spans="1:32" s="46" customFormat="1" ht="30" customHeight="1">
      <c r="A12" s="901"/>
      <c r="C12" s="4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5"/>
      <c r="S12" s="780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2"/>
    </row>
    <row r="13" spans="1:32" s="49" customFormat="1" ht="23.1" customHeight="1">
      <c r="A13" s="901"/>
      <c r="C13" s="47"/>
      <c r="D13" s="1180"/>
      <c r="E13" s="1181"/>
      <c r="F13" s="86" t="s">
        <v>459</v>
      </c>
      <c r="G13" s="1184" t="s">
        <v>460</v>
      </c>
      <c r="H13" s="1185"/>
      <c r="I13" s="1185"/>
      <c r="J13" s="1185"/>
      <c r="K13" s="1185"/>
      <c r="L13" s="1185"/>
      <c r="M13" s="1186"/>
      <c r="N13" s="86" t="s">
        <v>461</v>
      </c>
      <c r="O13" s="86"/>
      <c r="P13" s="1182" t="s">
        <v>462</v>
      </c>
      <c r="Q13" s="48"/>
      <c r="S13" s="780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781"/>
      <c r="AF13" s="782"/>
    </row>
    <row r="14" spans="1:32" ht="48.95" customHeight="1">
      <c r="A14" s="902"/>
      <c r="C14" s="38"/>
      <c r="D14" s="95" t="s">
        <v>463</v>
      </c>
      <c r="E14" s="93">
        <f>ejercicio-1</f>
        <v>2021</v>
      </c>
      <c r="F14" s="94">
        <f>ejercicio-1</f>
        <v>2021</v>
      </c>
      <c r="G14" s="90" t="s">
        <v>464</v>
      </c>
      <c r="H14" s="91" t="s">
        <v>465</v>
      </c>
      <c r="I14" s="91" t="s">
        <v>466</v>
      </c>
      <c r="J14" s="91" t="s">
        <v>467</v>
      </c>
      <c r="K14" s="91" t="s">
        <v>468</v>
      </c>
      <c r="L14" s="91" t="s">
        <v>469</v>
      </c>
      <c r="M14" s="92" t="s">
        <v>470</v>
      </c>
      <c r="N14" s="94">
        <f>ejercicio-1</f>
        <v>2021</v>
      </c>
      <c r="O14" s="662" t="s">
        <v>471</v>
      </c>
      <c r="P14" s="1183"/>
      <c r="Q14" s="39"/>
      <c r="S14" s="780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2"/>
    </row>
    <row r="15" spans="1:32" s="17" customFormat="1" ht="23.1" customHeight="1">
      <c r="A15" s="903"/>
      <c r="C15" s="47"/>
      <c r="D15" s="664" t="s">
        <v>472</v>
      </c>
      <c r="E15" s="1021"/>
      <c r="F15" s="197">
        <f>+'FC-4_ACTIVO'!F17</f>
        <v>862.96</v>
      </c>
      <c r="G15" s="1035"/>
      <c r="H15" s="1036"/>
      <c r="I15" s="1036"/>
      <c r="J15" s="1036">
        <v>-495.45</v>
      </c>
      <c r="K15" s="1036"/>
      <c r="L15" s="1036"/>
      <c r="M15" s="1037"/>
      <c r="N15" s="69">
        <f>SUM(F15:M15)</f>
        <v>367.51000000000005</v>
      </c>
      <c r="O15" s="659"/>
      <c r="P15" s="1010"/>
      <c r="Q15" s="48"/>
      <c r="S15" s="780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2"/>
    </row>
    <row r="16" spans="1:32" ht="23.1" customHeight="1">
      <c r="A16" s="903"/>
      <c r="C16" s="47"/>
      <c r="D16" s="665" t="s">
        <v>473</v>
      </c>
      <c r="E16" s="710"/>
      <c r="F16" s="198"/>
      <c r="G16" s="1038"/>
      <c r="H16" s="713"/>
      <c r="I16" s="713"/>
      <c r="J16" s="713"/>
      <c r="K16" s="713"/>
      <c r="L16" s="713"/>
      <c r="M16" s="1039"/>
      <c r="N16" s="71">
        <f t="shared" ref="N16:N19" si="0">SUM(F16:M16)</f>
        <v>0</v>
      </c>
      <c r="O16" s="660"/>
      <c r="P16" s="952"/>
      <c r="Q16" s="39"/>
      <c r="S16" s="780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1"/>
      <c r="AF16" s="782"/>
    </row>
    <row r="17" spans="1:32" ht="23.1" customHeight="1">
      <c r="A17" s="903"/>
      <c r="C17" s="47"/>
      <c r="D17" s="665" t="s">
        <v>474</v>
      </c>
      <c r="E17" s="710"/>
      <c r="F17" s="198">
        <f>+'FC-4_ACTIVO'!F19</f>
        <v>43394.13</v>
      </c>
      <c r="G17" s="1038">
        <v>5982.48</v>
      </c>
      <c r="H17" s="713"/>
      <c r="I17" s="713"/>
      <c r="J17" s="713">
        <f>-478.99-13.9-13772.6</f>
        <v>-14265.49</v>
      </c>
      <c r="K17" s="713">
        <v>-293.93</v>
      </c>
      <c r="L17" s="713"/>
      <c r="M17" s="1039"/>
      <c r="N17" s="71">
        <f t="shared" si="0"/>
        <v>34817.19</v>
      </c>
      <c r="O17" s="660"/>
      <c r="P17" s="952" t="s">
        <v>475</v>
      </c>
      <c r="Q17" s="39"/>
      <c r="S17" s="780"/>
      <c r="T17" s="781"/>
      <c r="U17" s="781"/>
      <c r="V17" s="781"/>
      <c r="W17" s="781"/>
      <c r="X17" s="781"/>
      <c r="Y17" s="781"/>
      <c r="Z17" s="781"/>
      <c r="AA17" s="781"/>
      <c r="AB17" s="781"/>
      <c r="AC17" s="781"/>
      <c r="AD17" s="781"/>
      <c r="AE17" s="781"/>
      <c r="AF17" s="782"/>
    </row>
    <row r="18" spans="1:32" ht="23.1" customHeight="1">
      <c r="A18" s="903"/>
      <c r="C18" s="47"/>
      <c r="D18" s="665" t="s">
        <v>476</v>
      </c>
      <c r="E18" s="710"/>
      <c r="F18" s="198"/>
      <c r="G18" s="1038"/>
      <c r="H18" s="713"/>
      <c r="I18" s="713"/>
      <c r="J18" s="713"/>
      <c r="K18" s="713"/>
      <c r="L18" s="713"/>
      <c r="M18" s="1039"/>
      <c r="N18" s="71">
        <f t="shared" si="0"/>
        <v>0</v>
      </c>
      <c r="O18" s="660"/>
      <c r="P18" s="952"/>
      <c r="Q18" s="39"/>
      <c r="S18" s="780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2"/>
    </row>
    <row r="19" spans="1:32" ht="23.1" customHeight="1">
      <c r="A19" s="903"/>
      <c r="C19" s="47"/>
      <c r="D19" s="641" t="s">
        <v>477</v>
      </c>
      <c r="E19" s="720"/>
      <c r="F19" s="199"/>
      <c r="G19" s="1040"/>
      <c r="H19" s="723"/>
      <c r="I19" s="723"/>
      <c r="J19" s="723"/>
      <c r="K19" s="723"/>
      <c r="L19" s="723"/>
      <c r="M19" s="1041"/>
      <c r="N19" s="72">
        <f t="shared" si="0"/>
        <v>0</v>
      </c>
      <c r="O19" s="661"/>
      <c r="P19" s="1005"/>
      <c r="Q19" s="39"/>
      <c r="S19" s="780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2"/>
    </row>
    <row r="20" spans="1:32" ht="23.1" customHeight="1" thickBot="1">
      <c r="A20" s="975"/>
      <c r="C20" s="47"/>
      <c r="D20" s="62" t="s">
        <v>478</v>
      </c>
      <c r="E20" s="63"/>
      <c r="F20" s="70">
        <f>SUM(F15:F19)</f>
        <v>44257.09</v>
      </c>
      <c r="G20" s="70">
        <f t="shared" ref="G20:N20" si="1">SUM(G15:G19)</f>
        <v>5982.48</v>
      </c>
      <c r="H20" s="70">
        <f t="shared" si="1"/>
        <v>0</v>
      </c>
      <c r="I20" s="70">
        <f t="shared" si="1"/>
        <v>0</v>
      </c>
      <c r="J20" s="70">
        <f t="shared" si="1"/>
        <v>-14760.94</v>
      </c>
      <c r="K20" s="70">
        <f t="shared" si="1"/>
        <v>-293.93</v>
      </c>
      <c r="L20" s="70">
        <f t="shared" si="1"/>
        <v>0</v>
      </c>
      <c r="M20" s="70">
        <f t="shared" si="1"/>
        <v>0</v>
      </c>
      <c r="N20" s="70">
        <f t="shared" si="1"/>
        <v>35184.700000000004</v>
      </c>
      <c r="O20" s="70">
        <f>SUM(O15:O19)</f>
        <v>0</v>
      </c>
      <c r="P20" s="64"/>
      <c r="Q20" s="39"/>
      <c r="S20" s="780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782"/>
    </row>
    <row r="21" spans="1:32" ht="8.1" customHeight="1">
      <c r="A21" s="975"/>
      <c r="C21" s="47"/>
      <c r="D21" s="5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39"/>
      <c r="S21" s="780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1"/>
      <c r="AE21" s="781"/>
      <c r="AF21" s="782"/>
    </row>
    <row r="22" spans="1:32" ht="23.1" customHeight="1" thickBot="1">
      <c r="A22" s="903"/>
      <c r="C22" s="47"/>
      <c r="D22" s="961" t="s">
        <v>479</v>
      </c>
      <c r="E22" s="962"/>
      <c r="F22" s="1042">
        <f>+'FC-4_ACTIVO'!F26</f>
        <v>32584.02</v>
      </c>
      <c r="G22" s="1043"/>
      <c r="H22" s="1044"/>
      <c r="I22" s="1044"/>
      <c r="J22" s="1044"/>
      <c r="K22" s="1044"/>
      <c r="L22" s="1044"/>
      <c r="M22" s="1045">
        <v>2415.98</v>
      </c>
      <c r="N22" s="70">
        <f>SUM(F22:M22)</f>
        <v>35000</v>
      </c>
      <c r="O22" s="663"/>
      <c r="P22" s="1046"/>
      <c r="Q22" s="39"/>
      <c r="S22" s="780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2"/>
    </row>
    <row r="23" spans="1:32" ht="23.1" customHeight="1">
      <c r="A23" s="903"/>
      <c r="C23" s="47"/>
      <c r="D23" s="46"/>
      <c r="E23" s="4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9"/>
      <c r="S23" s="780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1"/>
      <c r="AE23" s="781"/>
      <c r="AF23" s="782"/>
    </row>
    <row r="24" spans="1:32" ht="23.1" customHeight="1">
      <c r="A24" s="903"/>
      <c r="C24" s="47"/>
      <c r="D24" s="1180"/>
      <c r="E24" s="1181"/>
      <c r="F24" s="86" t="s">
        <v>459</v>
      </c>
      <c r="G24" s="1184" t="s">
        <v>460</v>
      </c>
      <c r="H24" s="1185"/>
      <c r="I24" s="1185"/>
      <c r="J24" s="1185"/>
      <c r="K24" s="1185"/>
      <c r="L24" s="1185"/>
      <c r="M24" s="1186"/>
      <c r="N24" s="86" t="s">
        <v>461</v>
      </c>
      <c r="O24" s="86"/>
      <c r="P24" s="1182" t="s">
        <v>462</v>
      </c>
      <c r="Q24" s="39"/>
      <c r="S24" s="780"/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1"/>
      <c r="AE24" s="781"/>
      <c r="AF24" s="782"/>
    </row>
    <row r="25" spans="1:32" ht="48.95" customHeight="1">
      <c r="A25" s="903"/>
      <c r="C25" s="47"/>
      <c r="D25" s="95" t="s">
        <v>480</v>
      </c>
      <c r="E25" s="93">
        <f>ejercicio</f>
        <v>2022</v>
      </c>
      <c r="F25" s="94">
        <f>ejercicio</f>
        <v>2022</v>
      </c>
      <c r="G25" s="90" t="s">
        <v>464</v>
      </c>
      <c r="H25" s="91" t="s">
        <v>465</v>
      </c>
      <c r="I25" s="91" t="s">
        <v>466</v>
      </c>
      <c r="J25" s="91" t="s">
        <v>467</v>
      </c>
      <c r="K25" s="91" t="s">
        <v>468</v>
      </c>
      <c r="L25" s="91" t="s">
        <v>469</v>
      </c>
      <c r="M25" s="92" t="s">
        <v>470</v>
      </c>
      <c r="N25" s="94">
        <f>ejercicio</f>
        <v>2022</v>
      </c>
      <c r="O25" s="662" t="s">
        <v>471</v>
      </c>
      <c r="P25" s="1183"/>
      <c r="Q25" s="39"/>
      <c r="S25" s="780"/>
      <c r="T25" s="781"/>
      <c r="U25" s="781"/>
      <c r="V25" s="781"/>
      <c r="W25" s="781"/>
      <c r="X25" s="781"/>
      <c r="Y25" s="781"/>
      <c r="Z25" s="781"/>
      <c r="AA25" s="781"/>
      <c r="AB25" s="781"/>
      <c r="AC25" s="781"/>
      <c r="AD25" s="781"/>
      <c r="AE25" s="781"/>
      <c r="AF25" s="782"/>
    </row>
    <row r="26" spans="1:32" ht="23.1" customHeight="1">
      <c r="A26" s="903"/>
      <c r="C26" s="47"/>
      <c r="D26" s="664" t="s">
        <v>472</v>
      </c>
      <c r="E26" s="1021"/>
      <c r="F26" s="69">
        <f>+N15</f>
        <v>367.51000000000005</v>
      </c>
      <c r="G26" s="1035"/>
      <c r="H26" s="1036"/>
      <c r="I26" s="1036"/>
      <c r="J26" s="1036">
        <v>-243.64</v>
      </c>
      <c r="K26" s="1036"/>
      <c r="L26" s="1036"/>
      <c r="M26" s="1037"/>
      <c r="N26" s="69">
        <f>SUM(F26:M26)</f>
        <v>123.87000000000006</v>
      </c>
      <c r="O26" s="659"/>
      <c r="P26" s="1010"/>
      <c r="Q26" s="39"/>
      <c r="S26" s="780"/>
      <c r="T26" s="781"/>
      <c r="U26" s="781"/>
      <c r="V26" s="781"/>
      <c r="W26" s="781"/>
      <c r="X26" s="781"/>
      <c r="Y26" s="781"/>
      <c r="Z26" s="781"/>
      <c r="AA26" s="781"/>
      <c r="AB26" s="781"/>
      <c r="AC26" s="781"/>
      <c r="AD26" s="781"/>
      <c r="AE26" s="781"/>
      <c r="AF26" s="782"/>
    </row>
    <row r="27" spans="1:32" ht="23.1" customHeight="1">
      <c r="A27" s="903"/>
      <c r="C27" s="47"/>
      <c r="D27" s="665" t="s">
        <v>473</v>
      </c>
      <c r="E27" s="710"/>
      <c r="F27" s="71">
        <f>+N16</f>
        <v>0</v>
      </c>
      <c r="G27" s="1038"/>
      <c r="H27" s="713"/>
      <c r="I27" s="713"/>
      <c r="J27" s="713"/>
      <c r="K27" s="713"/>
      <c r="L27" s="713"/>
      <c r="M27" s="1039"/>
      <c r="N27" s="71">
        <f t="shared" ref="N27:N30" si="2">SUM(F27:M27)</f>
        <v>0</v>
      </c>
      <c r="O27" s="660"/>
      <c r="P27" s="952"/>
      <c r="Q27" s="39"/>
      <c r="S27" s="780"/>
      <c r="T27" s="781"/>
      <c r="U27" s="781"/>
      <c r="V27" s="781"/>
      <c r="W27" s="781"/>
      <c r="X27" s="781"/>
      <c r="Y27" s="781"/>
      <c r="Z27" s="781"/>
      <c r="AA27" s="781"/>
      <c r="AB27" s="781"/>
      <c r="AC27" s="781"/>
      <c r="AD27" s="781"/>
      <c r="AE27" s="781"/>
      <c r="AF27" s="782"/>
    </row>
    <row r="28" spans="1:32" ht="23.1" customHeight="1">
      <c r="A28" s="903"/>
      <c r="C28" s="47"/>
      <c r="D28" s="665" t="s">
        <v>474</v>
      </c>
      <c r="E28" s="710"/>
      <c r="F28" s="71">
        <f>+N17</f>
        <v>34817.19</v>
      </c>
      <c r="G28" s="1038">
        <v>10000</v>
      </c>
      <c r="H28" s="713"/>
      <c r="I28" s="713"/>
      <c r="J28" s="713">
        <f>-1.35-11315.1-2500</f>
        <v>-13816.45</v>
      </c>
      <c r="K28" s="713"/>
      <c r="L28" s="713"/>
      <c r="M28" s="1039"/>
      <c r="N28" s="71">
        <f t="shared" si="2"/>
        <v>31000.74</v>
      </c>
      <c r="O28" s="660"/>
      <c r="P28" s="952"/>
      <c r="Q28" s="39"/>
      <c r="S28" s="780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781"/>
      <c r="AF28" s="782"/>
    </row>
    <row r="29" spans="1:32" ht="23.1" customHeight="1">
      <c r="A29" s="903"/>
      <c r="C29" s="47"/>
      <c r="D29" s="665" t="s">
        <v>476</v>
      </c>
      <c r="E29" s="710"/>
      <c r="F29" s="71">
        <f>+N18</f>
        <v>0</v>
      </c>
      <c r="G29" s="1038"/>
      <c r="H29" s="713"/>
      <c r="I29" s="713"/>
      <c r="J29" s="713"/>
      <c r="K29" s="713"/>
      <c r="L29" s="713"/>
      <c r="M29" s="1039"/>
      <c r="N29" s="71">
        <f t="shared" si="2"/>
        <v>0</v>
      </c>
      <c r="O29" s="660"/>
      <c r="P29" s="952"/>
      <c r="Q29" s="39"/>
      <c r="S29" s="780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1"/>
      <c r="AE29" s="781"/>
      <c r="AF29" s="782"/>
    </row>
    <row r="30" spans="1:32" ht="23.1" customHeight="1">
      <c r="A30" s="903"/>
      <c r="C30" s="47"/>
      <c r="D30" s="641" t="s">
        <v>477</v>
      </c>
      <c r="E30" s="720"/>
      <c r="F30" s="72">
        <f>+N19</f>
        <v>0</v>
      </c>
      <c r="G30" s="1040"/>
      <c r="H30" s="723"/>
      <c r="I30" s="723"/>
      <c r="J30" s="723"/>
      <c r="K30" s="723"/>
      <c r="L30" s="723"/>
      <c r="M30" s="1041"/>
      <c r="N30" s="72">
        <f t="shared" si="2"/>
        <v>0</v>
      </c>
      <c r="O30" s="661"/>
      <c r="P30" s="1005"/>
      <c r="Q30" s="39"/>
      <c r="S30" s="783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5"/>
    </row>
    <row r="31" spans="1:32" ht="23.1" customHeight="1" thickBot="1">
      <c r="A31" s="903"/>
      <c r="C31" s="47"/>
      <c r="D31" s="62" t="s">
        <v>478</v>
      </c>
      <c r="E31" s="63"/>
      <c r="F31" s="70">
        <f>SUM(F26:F30)</f>
        <v>35184.700000000004</v>
      </c>
      <c r="G31" s="70">
        <f t="shared" ref="G31" si="3">SUM(G26:G30)</f>
        <v>10000</v>
      </c>
      <c r="H31" s="70">
        <f t="shared" ref="H31" si="4">SUM(H26:H30)</f>
        <v>0</v>
      </c>
      <c r="I31" s="70">
        <f t="shared" ref="I31" si="5">SUM(I26:I30)</f>
        <v>0</v>
      </c>
      <c r="J31" s="70">
        <f t="shared" ref="J31" si="6">SUM(J26:J30)</f>
        <v>-14060.09</v>
      </c>
      <c r="K31" s="70">
        <f t="shared" ref="K31" si="7">SUM(K26:K30)</f>
        <v>0</v>
      </c>
      <c r="L31" s="70">
        <f t="shared" ref="L31" si="8">SUM(L26:L30)</f>
        <v>0</v>
      </c>
      <c r="M31" s="70">
        <f t="shared" ref="M31" si="9">SUM(M26:M30)</f>
        <v>0</v>
      </c>
      <c r="N31" s="70">
        <f>SUM(N26:N30)</f>
        <v>31124.61</v>
      </c>
      <c r="O31" s="70">
        <f>SUM(O26:O30)</f>
        <v>0</v>
      </c>
      <c r="P31" s="64"/>
      <c r="Q31" s="39"/>
      <c r="S31" s="783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5"/>
    </row>
    <row r="32" spans="1:32" ht="9" customHeight="1">
      <c r="A32" s="975"/>
      <c r="C32" s="47"/>
      <c r="D32" s="58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39"/>
      <c r="S32" s="780"/>
      <c r="T32" s="781"/>
      <c r="U32" s="781"/>
      <c r="V32" s="781"/>
      <c r="W32" s="781"/>
      <c r="X32" s="781"/>
      <c r="Y32" s="781"/>
      <c r="Z32" s="781"/>
      <c r="AA32" s="781"/>
      <c r="AB32" s="781"/>
      <c r="AC32" s="781"/>
      <c r="AD32" s="781"/>
      <c r="AE32" s="781"/>
      <c r="AF32" s="782"/>
    </row>
    <row r="33" spans="1:32" ht="23.1" customHeight="1" thickBot="1">
      <c r="A33" s="903"/>
      <c r="C33" s="47"/>
      <c r="D33" s="961" t="s">
        <v>479</v>
      </c>
      <c r="E33" s="962"/>
      <c r="F33" s="70">
        <f>+N22</f>
        <v>35000</v>
      </c>
      <c r="G33" s="1043">
        <v>217500</v>
      </c>
      <c r="H33" s="1044"/>
      <c r="I33" s="1044"/>
      <c r="J33" s="1044"/>
      <c r="K33" s="1044"/>
      <c r="L33" s="1044">
        <v>-218000</v>
      </c>
      <c r="M33" s="1045"/>
      <c r="N33" s="70">
        <f>SUM(F33:M33)</f>
        <v>34500</v>
      </c>
      <c r="O33" s="663"/>
      <c r="P33" s="1046"/>
      <c r="Q33" s="39"/>
      <c r="S33" s="780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2"/>
    </row>
    <row r="34" spans="1:32" ht="23.1" customHeight="1">
      <c r="A34" s="903"/>
      <c r="C34" s="47"/>
      <c r="D34" s="46"/>
      <c r="E34" s="46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9"/>
      <c r="S34" s="780"/>
      <c r="T34" s="781"/>
      <c r="U34" s="781"/>
      <c r="V34" s="781"/>
      <c r="W34" s="781"/>
      <c r="X34" s="781"/>
      <c r="Y34" s="781"/>
      <c r="Z34" s="781"/>
      <c r="AA34" s="781"/>
      <c r="AB34" s="781"/>
      <c r="AC34" s="781"/>
      <c r="AD34" s="781"/>
      <c r="AE34" s="781"/>
      <c r="AF34" s="782"/>
    </row>
    <row r="35" spans="1:32" ht="23.1" customHeight="1">
      <c r="A35" s="903"/>
      <c r="C35" s="47"/>
      <c r="D35" s="68" t="s">
        <v>179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31"/>
      <c r="Q35" s="39"/>
      <c r="S35" s="780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1"/>
      <c r="AE35" s="781"/>
      <c r="AF35" s="782"/>
    </row>
    <row r="36" spans="1:32" ht="18">
      <c r="A36" s="903"/>
      <c r="C36" s="47"/>
      <c r="D36" s="66" t="s">
        <v>481</v>
      </c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31"/>
      <c r="Q36" s="39"/>
      <c r="S36" s="786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87"/>
      <c r="AE36" s="787"/>
      <c r="AF36" s="788"/>
    </row>
    <row r="37" spans="1:32" ht="18">
      <c r="A37" s="903"/>
      <c r="C37" s="47"/>
      <c r="D37" s="66" t="s">
        <v>482</v>
      </c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31"/>
      <c r="Q37" s="39"/>
      <c r="S37" s="786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7"/>
      <c r="AE37" s="787"/>
      <c r="AF37" s="788"/>
    </row>
    <row r="38" spans="1:32" ht="18">
      <c r="A38" s="903"/>
      <c r="C38" s="47"/>
      <c r="D38" s="66" t="s">
        <v>483</v>
      </c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31"/>
      <c r="Q38" s="39"/>
      <c r="S38" s="786"/>
      <c r="T38" s="787"/>
      <c r="U38" s="787"/>
      <c r="V38" s="787"/>
      <c r="W38" s="787"/>
      <c r="X38" s="787"/>
      <c r="Y38" s="787"/>
      <c r="Z38" s="787"/>
      <c r="AA38" s="787"/>
      <c r="AB38" s="787"/>
      <c r="AC38" s="787"/>
      <c r="AD38" s="787"/>
      <c r="AE38" s="787"/>
      <c r="AF38" s="788"/>
    </row>
    <row r="39" spans="1:32" ht="18">
      <c r="A39" s="903"/>
      <c r="C39" s="47"/>
      <c r="D39" s="66" t="s">
        <v>484</v>
      </c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31"/>
      <c r="Q39" s="39"/>
      <c r="S39" s="786"/>
      <c r="T39" s="787"/>
      <c r="U39" s="787"/>
      <c r="V39" s="787"/>
      <c r="W39" s="787"/>
      <c r="X39" s="787"/>
      <c r="Y39" s="787"/>
      <c r="Z39" s="787"/>
      <c r="AA39" s="787"/>
      <c r="AB39" s="787"/>
      <c r="AC39" s="787"/>
      <c r="AD39" s="787"/>
      <c r="AE39" s="787"/>
      <c r="AF39" s="788"/>
    </row>
    <row r="40" spans="1:32" ht="18">
      <c r="A40" s="903"/>
      <c r="C40" s="47"/>
      <c r="D40" s="66" t="s">
        <v>485</v>
      </c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31"/>
      <c r="Q40" s="39"/>
      <c r="S40" s="786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7"/>
      <c r="AE40" s="787"/>
      <c r="AF40" s="788"/>
    </row>
    <row r="41" spans="1:32" ht="18">
      <c r="A41" s="903"/>
      <c r="C41" s="47"/>
      <c r="D41" s="66" t="s">
        <v>486</v>
      </c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31"/>
      <c r="Q41" s="39"/>
      <c r="S41" s="786"/>
      <c r="T41" s="787"/>
      <c r="U41" s="787"/>
      <c r="V41" s="787"/>
      <c r="W41" s="787"/>
      <c r="X41" s="787"/>
      <c r="Y41" s="787"/>
      <c r="Z41" s="787"/>
      <c r="AA41" s="787"/>
      <c r="AB41" s="787"/>
      <c r="AC41" s="787"/>
      <c r="AD41" s="787"/>
      <c r="AE41" s="787"/>
      <c r="AF41" s="788"/>
    </row>
    <row r="42" spans="1:32" ht="18">
      <c r="A42" s="903"/>
      <c r="C42" s="47"/>
      <c r="D42" s="66" t="s">
        <v>487</v>
      </c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31"/>
      <c r="Q42" s="39"/>
      <c r="S42" s="786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7"/>
      <c r="AE42" s="787"/>
      <c r="AF42" s="788"/>
    </row>
    <row r="43" spans="1:32" ht="18">
      <c r="A43" s="903"/>
      <c r="C43" s="47"/>
      <c r="D43" s="66" t="s">
        <v>488</v>
      </c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31"/>
      <c r="Q43" s="39"/>
      <c r="S43" s="786"/>
      <c r="T43" s="787"/>
      <c r="U43" s="787"/>
      <c r="V43" s="787"/>
      <c r="W43" s="787"/>
      <c r="X43" s="787"/>
      <c r="Y43" s="787"/>
      <c r="Z43" s="787"/>
      <c r="AA43" s="787"/>
      <c r="AB43" s="787"/>
      <c r="AC43" s="787"/>
      <c r="AD43" s="787"/>
      <c r="AE43" s="787"/>
      <c r="AF43" s="788"/>
    </row>
    <row r="44" spans="1:32" ht="18">
      <c r="A44" s="903"/>
      <c r="C44" s="47"/>
      <c r="D44" s="66" t="s">
        <v>489</v>
      </c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31"/>
      <c r="Q44" s="39"/>
      <c r="S44" s="786"/>
      <c r="T44" s="787"/>
      <c r="U44" s="787"/>
      <c r="V44" s="787"/>
      <c r="W44" s="787"/>
      <c r="X44" s="787"/>
      <c r="Y44" s="787"/>
      <c r="Z44" s="787"/>
      <c r="AA44" s="787"/>
      <c r="AB44" s="787"/>
      <c r="AC44" s="787"/>
      <c r="AD44" s="787"/>
      <c r="AE44" s="787"/>
      <c r="AF44" s="788"/>
    </row>
    <row r="45" spans="1:32" ht="18">
      <c r="A45" s="903"/>
      <c r="C45" s="47"/>
      <c r="D45" s="66" t="s">
        <v>490</v>
      </c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31"/>
      <c r="Q45" s="39"/>
      <c r="S45" s="786"/>
      <c r="T45" s="787"/>
      <c r="U45" s="787"/>
      <c r="V45" s="787"/>
      <c r="W45" s="787"/>
      <c r="X45" s="787"/>
      <c r="Y45" s="787"/>
      <c r="Z45" s="787"/>
      <c r="AA45" s="787"/>
      <c r="AB45" s="787"/>
      <c r="AC45" s="787"/>
      <c r="AD45" s="787"/>
      <c r="AE45" s="787"/>
      <c r="AF45" s="788"/>
    </row>
    <row r="46" spans="1:32" ht="18">
      <c r="A46" s="903"/>
      <c r="C46" s="47"/>
      <c r="D46" s="66" t="s">
        <v>491</v>
      </c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31"/>
      <c r="Q46" s="39"/>
      <c r="S46" s="786"/>
      <c r="T46" s="787"/>
      <c r="U46" s="787"/>
      <c r="V46" s="787"/>
      <c r="W46" s="787"/>
      <c r="X46" s="787"/>
      <c r="Y46" s="787"/>
      <c r="Z46" s="787"/>
      <c r="AA46" s="787"/>
      <c r="AB46" s="787"/>
      <c r="AC46" s="787"/>
      <c r="AD46" s="787"/>
      <c r="AE46" s="787"/>
      <c r="AF46" s="788"/>
    </row>
    <row r="47" spans="1:32" ht="23.1" customHeight="1" thickBot="1">
      <c r="A47" s="903"/>
      <c r="C47" s="50"/>
      <c r="D47" s="1148"/>
      <c r="E47" s="1148"/>
      <c r="F47" s="1148"/>
      <c r="G47" s="1148"/>
      <c r="H47" s="26"/>
      <c r="I47" s="26"/>
      <c r="J47" s="26"/>
      <c r="K47" s="26"/>
      <c r="L47" s="26"/>
      <c r="M47" s="26"/>
      <c r="N47" s="26"/>
      <c r="O47" s="26"/>
      <c r="P47" s="51"/>
      <c r="Q47" s="52"/>
      <c r="S47" s="789"/>
      <c r="T47" s="790"/>
      <c r="U47" s="790"/>
      <c r="V47" s="790"/>
      <c r="W47" s="790"/>
      <c r="X47" s="790"/>
      <c r="Y47" s="790"/>
      <c r="Z47" s="790"/>
      <c r="AA47" s="790"/>
      <c r="AB47" s="790"/>
      <c r="AC47" s="790"/>
      <c r="AD47" s="790"/>
      <c r="AE47" s="790"/>
      <c r="AF47" s="791"/>
    </row>
    <row r="48" spans="1:32" ht="23.1" customHeight="1">
      <c r="A48" s="24"/>
      <c r="R48" s="32" t="s">
        <v>140</v>
      </c>
    </row>
    <row r="49" spans="1:16" ht="12.75">
      <c r="A49" s="24"/>
      <c r="D49" s="53" t="s">
        <v>39</v>
      </c>
      <c r="P49" s="30" t="s">
        <v>492</v>
      </c>
    </row>
    <row r="50" spans="1:16" ht="12.75">
      <c r="A50" s="24"/>
      <c r="D50" s="53" t="s">
        <v>41</v>
      </c>
    </row>
    <row r="51" spans="1:16" ht="12.75">
      <c r="A51" s="24"/>
      <c r="D51" s="53" t="s">
        <v>42</v>
      </c>
    </row>
    <row r="52" spans="1:16" ht="12.75">
      <c r="A52" s="24"/>
      <c r="D52" s="53" t="s">
        <v>43</v>
      </c>
    </row>
    <row r="53" spans="1:16" ht="12.75">
      <c r="A53" s="24"/>
      <c r="D53" s="53" t="s">
        <v>44</v>
      </c>
    </row>
    <row r="54" spans="1:16" ht="23.1" customHeight="1">
      <c r="A54" s="24"/>
    </row>
    <row r="55" spans="1:16" ht="23.1" customHeight="1">
      <c r="A55" s="24"/>
    </row>
    <row r="56" spans="1:16" ht="23.1" customHeight="1">
      <c r="A56" s="24"/>
    </row>
    <row r="57" spans="1:16" ht="23.1" customHeight="1">
      <c r="A57" s="24"/>
    </row>
    <row r="58" spans="1:16" ht="23.1" customHeight="1">
      <c r="A58" s="24"/>
    </row>
    <row r="59" spans="1:16" ht="23.1" customHeight="1">
      <c r="A59" s="24"/>
    </row>
    <row r="60" spans="1:16" ht="23.1" customHeight="1">
      <c r="A60" s="24"/>
    </row>
    <row r="61" spans="1:16" ht="23.1" customHeight="1">
      <c r="A61" s="24"/>
    </row>
    <row r="62" spans="1:16" ht="23.1" customHeight="1">
      <c r="A62" s="24"/>
    </row>
    <row r="63" spans="1:16" ht="23.1" customHeight="1">
      <c r="A63" s="24"/>
    </row>
    <row r="64" spans="1:16" ht="23.1" customHeight="1">
      <c r="A64" s="24"/>
    </row>
    <row r="65" spans="1:1" ht="23.1" customHeight="1">
      <c r="A65" s="24"/>
    </row>
    <row r="66" spans="1:1" ht="23.1" customHeight="1">
      <c r="A66" s="24"/>
    </row>
    <row r="67" spans="1:1" ht="23.1" customHeight="1">
      <c r="A67" s="24"/>
    </row>
    <row r="68" spans="1:1" ht="23.1" customHeight="1">
      <c r="A68" s="24"/>
    </row>
    <row r="69" spans="1:1" ht="23.1" customHeight="1">
      <c r="A69" s="24"/>
    </row>
  </sheetData>
  <sheetProtection algorithmName="SHA-512" hashValue="54yodMED168XqiiHsxpNBPDTzSnfX8GVPaCkEyrnR91X7D8zdDVmPhtbjST2afzTF3iRUlMltht9hTA3GG1OUA==" saltValue="GfWdGZdWMzrtH272sXj7dw==" spinCount="100000" sheet="1" objects="1" scenarios="1"/>
  <mergeCells count="9">
    <mergeCell ref="P6:P7"/>
    <mergeCell ref="E9:P9"/>
    <mergeCell ref="D47:G47"/>
    <mergeCell ref="D13:E13"/>
    <mergeCell ref="P13:P14"/>
    <mergeCell ref="G13:M13"/>
    <mergeCell ref="D24:E24"/>
    <mergeCell ref="G24:M24"/>
    <mergeCell ref="P24:P25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2:AD80"/>
  <sheetViews>
    <sheetView zoomScale="40" zoomScaleNormal="40" zoomScalePageLayoutView="125" workbookViewId="0">
      <selection activeCell="I52" sqref="I52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23.109375" style="32" customWidth="1"/>
    <col min="6" max="13" width="13.44140625" style="33" customWidth="1"/>
    <col min="14" max="14" width="25.88671875" style="33" customWidth="1"/>
    <col min="15" max="15" width="3.33203125" style="32" customWidth="1"/>
    <col min="16" max="16384" width="10.6640625" style="32"/>
  </cols>
  <sheetData>
    <row r="2" spans="1:30" ht="23.1" customHeight="1">
      <c r="A2" s="369"/>
      <c r="E2" s="347" t="str">
        <f>_GENERAL!D2</f>
        <v>Área de Presidencia, Hacienda y Modernización</v>
      </c>
    </row>
    <row r="3" spans="1:30" ht="23.1" customHeight="1">
      <c r="A3" s="369"/>
      <c r="E3" s="347" t="str">
        <f>_GENERAL!D3</f>
        <v>Dirección Insular de Hacienda</v>
      </c>
    </row>
    <row r="4" spans="1:30" ht="23.1" customHeight="1" thickBot="1">
      <c r="A4" s="369"/>
      <c r="B4" s="32" t="s">
        <v>100</v>
      </c>
    </row>
    <row r="5" spans="1:30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Q5" s="757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9"/>
    </row>
    <row r="6" spans="1:30" ht="30" customHeight="1">
      <c r="A6" s="975"/>
      <c r="C6" s="38"/>
      <c r="D6" s="29" t="s">
        <v>2</v>
      </c>
      <c r="N6" s="1140">
        <f>ejercicio</f>
        <v>2022</v>
      </c>
      <c r="O6" s="39"/>
      <c r="Q6" s="174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7"/>
    </row>
    <row r="7" spans="1:30" ht="30" customHeight="1">
      <c r="A7" s="975"/>
      <c r="C7" s="38"/>
      <c r="D7" s="29" t="s">
        <v>3</v>
      </c>
      <c r="N7" s="1140"/>
      <c r="O7" s="39"/>
      <c r="Q7" s="178"/>
      <c r="R7" s="175" t="s">
        <v>101</v>
      </c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80"/>
    </row>
    <row r="8" spans="1:30" ht="30" customHeight="1">
      <c r="A8" s="975"/>
      <c r="C8" s="38"/>
      <c r="D8" s="40"/>
      <c r="N8" s="41"/>
      <c r="O8" s="39"/>
      <c r="Q8" s="777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9"/>
    </row>
    <row r="9" spans="1:30" s="27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936"/>
      <c r="P9" s="970"/>
      <c r="Q9" s="780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2"/>
    </row>
    <row r="10" spans="1:30" ht="6.95" customHeight="1">
      <c r="A10" s="975"/>
      <c r="C10" s="38"/>
      <c r="O10" s="39"/>
      <c r="Q10" s="780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2"/>
    </row>
    <row r="11" spans="1:30" s="46" customFormat="1" ht="30" customHeight="1">
      <c r="A11" s="901"/>
      <c r="C11" s="42"/>
      <c r="D11" s="43" t="s">
        <v>493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5"/>
      <c r="Q11" s="780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2"/>
    </row>
    <row r="12" spans="1:30" s="46" customFormat="1" ht="30" customHeight="1">
      <c r="A12" s="901"/>
      <c r="C12" s="42"/>
      <c r="D12" s="1160"/>
      <c r="E12" s="1160"/>
      <c r="F12" s="31"/>
      <c r="G12" s="31"/>
      <c r="H12" s="31"/>
      <c r="I12" s="31"/>
      <c r="J12" s="31"/>
      <c r="K12" s="31"/>
      <c r="L12" s="31"/>
      <c r="M12" s="31"/>
      <c r="N12" s="31"/>
      <c r="O12" s="45"/>
      <c r="Q12" s="780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2"/>
    </row>
    <row r="13" spans="1:30" s="46" customFormat="1" ht="30" customHeight="1">
      <c r="A13" s="901"/>
      <c r="C13" s="42"/>
      <c r="D13" s="28" t="s">
        <v>494</v>
      </c>
      <c r="E13" s="8"/>
      <c r="F13" s="31"/>
      <c r="G13" s="31"/>
      <c r="H13" s="31"/>
      <c r="I13" s="31"/>
      <c r="J13" s="31"/>
      <c r="K13" s="31"/>
      <c r="L13" s="31"/>
      <c r="M13" s="31"/>
      <c r="N13" s="31"/>
      <c r="O13" s="45"/>
      <c r="Q13" s="780"/>
      <c r="R13" s="781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2"/>
    </row>
    <row r="14" spans="1:30" s="46" customFormat="1" ht="30" customHeight="1">
      <c r="A14" s="902"/>
      <c r="C14" s="42"/>
      <c r="D14" s="8"/>
      <c r="E14" s="8"/>
      <c r="F14" s="31"/>
      <c r="G14" s="31"/>
      <c r="H14" s="31"/>
      <c r="I14" s="31"/>
      <c r="J14" s="31"/>
      <c r="K14" s="31"/>
      <c r="L14" s="31"/>
      <c r="M14" s="31"/>
      <c r="N14" s="31"/>
      <c r="O14" s="45"/>
      <c r="Q14" s="780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2"/>
    </row>
    <row r="15" spans="1:30" s="49" customFormat="1" ht="23.1" customHeight="1">
      <c r="A15" s="903"/>
      <c r="C15" s="47"/>
      <c r="D15" s="84"/>
      <c r="E15" s="85"/>
      <c r="F15" s="86" t="s">
        <v>342</v>
      </c>
      <c r="G15" s="86" t="s">
        <v>495</v>
      </c>
      <c r="H15" s="1184" t="s">
        <v>460</v>
      </c>
      <c r="I15" s="1185"/>
      <c r="J15" s="1185"/>
      <c r="K15" s="86" t="s">
        <v>461</v>
      </c>
      <c r="L15" s="86" t="s">
        <v>496</v>
      </c>
      <c r="M15" s="86" t="s">
        <v>497</v>
      </c>
      <c r="N15" s="1182" t="s">
        <v>498</v>
      </c>
      <c r="O15" s="48"/>
      <c r="Q15" s="780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2"/>
    </row>
    <row r="16" spans="1:30" ht="48.95" customHeight="1">
      <c r="A16" s="903"/>
      <c r="C16" s="38"/>
      <c r="D16" s="87" t="s">
        <v>499</v>
      </c>
      <c r="E16" s="88"/>
      <c r="F16" s="89" t="s">
        <v>500</v>
      </c>
      <c r="G16" s="89">
        <f>ejercicio</f>
        <v>2022</v>
      </c>
      <c r="H16" s="90" t="s">
        <v>501</v>
      </c>
      <c r="I16" s="91" t="s">
        <v>502</v>
      </c>
      <c r="J16" s="92" t="s">
        <v>503</v>
      </c>
      <c r="K16" s="89">
        <f>ejercicio</f>
        <v>2022</v>
      </c>
      <c r="L16" s="89" t="s">
        <v>504</v>
      </c>
      <c r="M16" s="89">
        <f>ejercicio</f>
        <v>2022</v>
      </c>
      <c r="N16" s="1183"/>
      <c r="O16" s="39"/>
      <c r="Q16" s="780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2"/>
    </row>
    <row r="17" spans="1:30" ht="30" customHeight="1" thickBot="1">
      <c r="A17" s="903"/>
      <c r="C17" s="38"/>
      <c r="D17" s="1193" t="s">
        <v>505</v>
      </c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39"/>
      <c r="Q17" s="780"/>
      <c r="R17" s="781"/>
      <c r="S17" s="781"/>
      <c r="T17" s="781"/>
      <c r="U17" s="781"/>
      <c r="V17" s="781"/>
      <c r="W17" s="781"/>
      <c r="X17" s="781"/>
      <c r="Y17" s="781"/>
      <c r="Z17" s="781"/>
      <c r="AA17" s="781"/>
      <c r="AB17" s="781"/>
      <c r="AC17" s="781"/>
      <c r="AD17" s="782"/>
    </row>
    <row r="18" spans="1:30" s="17" customFormat="1" ht="23.1" customHeight="1">
      <c r="A18" s="903"/>
      <c r="C18" s="47"/>
      <c r="D18" s="1191"/>
      <c r="E18" s="1192"/>
      <c r="F18" s="1047"/>
      <c r="G18" s="1048"/>
      <c r="H18" s="708"/>
      <c r="I18" s="708"/>
      <c r="J18" s="708"/>
      <c r="K18" s="77">
        <f t="shared" ref="K18:K24" si="0">SUM(G18:J18)</f>
        <v>0</v>
      </c>
      <c r="L18" s="1049"/>
      <c r="M18" s="1050"/>
      <c r="N18" s="1051"/>
      <c r="O18" s="48"/>
      <c r="Q18" s="780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2"/>
    </row>
    <row r="19" spans="1:30" ht="23.1" customHeight="1">
      <c r="A19" s="903"/>
      <c r="C19" s="47"/>
      <c r="D19" s="1187"/>
      <c r="E19" s="1188"/>
      <c r="F19" s="1052"/>
      <c r="G19" s="1038"/>
      <c r="H19" s="713"/>
      <c r="I19" s="713"/>
      <c r="J19" s="713"/>
      <c r="K19" s="71">
        <f t="shared" si="0"/>
        <v>0</v>
      </c>
      <c r="L19" s="1053"/>
      <c r="M19" s="1054"/>
      <c r="N19" s="960"/>
      <c r="O19" s="39"/>
      <c r="Q19" s="780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2"/>
    </row>
    <row r="20" spans="1:30" ht="23.1" customHeight="1">
      <c r="A20" s="903"/>
      <c r="C20" s="47"/>
      <c r="D20" s="1187"/>
      <c r="E20" s="1188"/>
      <c r="F20" s="1052"/>
      <c r="G20" s="1038"/>
      <c r="H20" s="713"/>
      <c r="I20" s="713"/>
      <c r="J20" s="713"/>
      <c r="K20" s="71">
        <f t="shared" si="0"/>
        <v>0</v>
      </c>
      <c r="L20" s="1053"/>
      <c r="M20" s="1054"/>
      <c r="N20" s="960"/>
      <c r="O20" s="39"/>
      <c r="Q20" s="780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2"/>
    </row>
    <row r="21" spans="1:30" ht="23.1" customHeight="1">
      <c r="A21" s="903"/>
      <c r="C21" s="47"/>
      <c r="D21" s="1187"/>
      <c r="E21" s="1188"/>
      <c r="F21" s="1052"/>
      <c r="G21" s="1038"/>
      <c r="H21" s="713"/>
      <c r="I21" s="713"/>
      <c r="J21" s="713"/>
      <c r="K21" s="71">
        <f t="shared" si="0"/>
        <v>0</v>
      </c>
      <c r="L21" s="1053"/>
      <c r="M21" s="1054"/>
      <c r="N21" s="960"/>
      <c r="O21" s="39"/>
      <c r="Q21" s="780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2"/>
    </row>
    <row r="22" spans="1:30" ht="23.1" customHeight="1">
      <c r="A22" s="903"/>
      <c r="C22" s="47"/>
      <c r="D22" s="1187"/>
      <c r="E22" s="1188"/>
      <c r="F22" s="1055"/>
      <c r="G22" s="1056"/>
      <c r="H22" s="718"/>
      <c r="I22" s="718"/>
      <c r="J22" s="718"/>
      <c r="K22" s="71">
        <f t="shared" si="0"/>
        <v>0</v>
      </c>
      <c r="L22" s="1057"/>
      <c r="M22" s="1058"/>
      <c r="N22" s="1059"/>
      <c r="O22" s="39"/>
      <c r="Q22" s="780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2"/>
    </row>
    <row r="23" spans="1:30" ht="23.1" customHeight="1">
      <c r="A23" s="903"/>
      <c r="C23" s="47"/>
      <c r="D23" s="1187"/>
      <c r="E23" s="1188"/>
      <c r="F23" s="1055"/>
      <c r="G23" s="1056"/>
      <c r="H23" s="718"/>
      <c r="I23" s="718"/>
      <c r="J23" s="718"/>
      <c r="K23" s="71">
        <f t="shared" si="0"/>
        <v>0</v>
      </c>
      <c r="L23" s="1057"/>
      <c r="M23" s="1058"/>
      <c r="N23" s="1059"/>
      <c r="O23" s="39"/>
      <c r="Q23" s="780"/>
      <c r="R23" s="781"/>
      <c r="S23" s="781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2"/>
    </row>
    <row r="24" spans="1:30" ht="23.1" customHeight="1">
      <c r="A24" s="903"/>
      <c r="C24" s="47"/>
      <c r="D24" s="1060"/>
      <c r="E24" s="958"/>
      <c r="F24" s="1061"/>
      <c r="G24" s="1040"/>
      <c r="H24" s="723"/>
      <c r="I24" s="723"/>
      <c r="J24" s="723"/>
      <c r="K24" s="72">
        <f t="shared" si="0"/>
        <v>0</v>
      </c>
      <c r="L24" s="1062"/>
      <c r="M24" s="1063"/>
      <c r="N24" s="958"/>
      <c r="O24" s="39"/>
      <c r="Q24" s="780"/>
      <c r="R24" s="781"/>
      <c r="S24" s="781"/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2"/>
    </row>
    <row r="25" spans="1:30" ht="23.1" customHeight="1" thickBot="1">
      <c r="A25" s="903"/>
      <c r="C25" s="47"/>
      <c r="D25" s="62" t="s">
        <v>478</v>
      </c>
      <c r="E25" s="63"/>
      <c r="F25" s="70"/>
      <c r="G25" s="70">
        <f>SUM(G18:G24)</f>
        <v>0</v>
      </c>
      <c r="H25" s="70">
        <f>SUM(H18:H24)</f>
        <v>0</v>
      </c>
      <c r="I25" s="70">
        <f>SUM(I18:I24)</f>
        <v>0</v>
      </c>
      <c r="J25" s="70">
        <f>SUM(J18:J24)</f>
        <v>0</v>
      </c>
      <c r="K25" s="70">
        <f>SUM(K18:K24)</f>
        <v>0</v>
      </c>
      <c r="L25" s="75"/>
      <c r="M25" s="70">
        <f>SUM(M18:M24)</f>
        <v>0</v>
      </c>
      <c r="N25" s="64"/>
      <c r="O25" s="39"/>
      <c r="Q25" s="780"/>
      <c r="R25" s="781"/>
      <c r="S25" s="781"/>
      <c r="T25" s="781"/>
      <c r="U25" s="781"/>
      <c r="V25" s="781"/>
      <c r="W25" s="781"/>
      <c r="X25" s="781"/>
      <c r="Y25" s="781"/>
      <c r="Z25" s="781"/>
      <c r="AA25" s="781"/>
      <c r="AB25" s="781"/>
      <c r="AC25" s="781"/>
      <c r="AD25" s="782"/>
    </row>
    <row r="26" spans="1:30" ht="30" customHeight="1" thickBot="1">
      <c r="A26" s="903"/>
      <c r="C26" s="38"/>
      <c r="D26" s="1194" t="s">
        <v>506</v>
      </c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39"/>
      <c r="Q26" s="780"/>
      <c r="R26" s="781"/>
      <c r="S26" s="781"/>
      <c r="T26" s="781"/>
      <c r="U26" s="781"/>
      <c r="V26" s="781"/>
      <c r="W26" s="781"/>
      <c r="X26" s="781"/>
      <c r="Y26" s="781"/>
      <c r="Z26" s="781"/>
      <c r="AA26" s="781"/>
      <c r="AB26" s="781"/>
      <c r="AC26" s="781"/>
      <c r="AD26" s="782"/>
    </row>
    <row r="27" spans="1:30" ht="23.1" customHeight="1">
      <c r="A27" s="903"/>
      <c r="C27" s="47"/>
      <c r="D27" s="1191"/>
      <c r="E27" s="1192"/>
      <c r="F27" s="1047"/>
      <c r="G27" s="1048"/>
      <c r="H27" s="708"/>
      <c r="I27" s="708"/>
      <c r="J27" s="708"/>
      <c r="K27" s="77">
        <f t="shared" ref="K27:K33" si="1">SUM(G27:J27)</f>
        <v>0</v>
      </c>
      <c r="L27" s="1049"/>
      <c r="M27" s="1050"/>
      <c r="N27" s="1051"/>
      <c r="O27" s="48"/>
      <c r="Q27" s="780"/>
      <c r="R27" s="781"/>
      <c r="S27" s="781"/>
      <c r="T27" s="781"/>
      <c r="U27" s="781"/>
      <c r="V27" s="781"/>
      <c r="W27" s="781"/>
      <c r="X27" s="781"/>
      <c r="Y27" s="781"/>
      <c r="Z27" s="781"/>
      <c r="AA27" s="781"/>
      <c r="AB27" s="781"/>
      <c r="AC27" s="781"/>
      <c r="AD27" s="782"/>
    </row>
    <row r="28" spans="1:30" ht="23.1" customHeight="1">
      <c r="A28" s="903"/>
      <c r="C28" s="47"/>
      <c r="D28" s="1187"/>
      <c r="E28" s="1188"/>
      <c r="F28" s="1052"/>
      <c r="G28" s="1038"/>
      <c r="H28" s="713"/>
      <c r="I28" s="713"/>
      <c r="J28" s="713"/>
      <c r="K28" s="71">
        <f t="shared" si="1"/>
        <v>0</v>
      </c>
      <c r="L28" s="1053"/>
      <c r="M28" s="1054"/>
      <c r="N28" s="960"/>
      <c r="O28" s="39"/>
      <c r="Q28" s="780"/>
      <c r="R28" s="781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2"/>
    </row>
    <row r="29" spans="1:30" ht="23.1" customHeight="1">
      <c r="A29" s="903"/>
      <c r="C29" s="47"/>
      <c r="D29" s="1187"/>
      <c r="E29" s="1188"/>
      <c r="F29" s="1052"/>
      <c r="G29" s="1038"/>
      <c r="H29" s="713"/>
      <c r="I29" s="713"/>
      <c r="J29" s="713"/>
      <c r="K29" s="71">
        <f t="shared" si="1"/>
        <v>0</v>
      </c>
      <c r="L29" s="1053"/>
      <c r="M29" s="1054"/>
      <c r="N29" s="960"/>
      <c r="O29" s="39"/>
      <c r="Q29" s="780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2"/>
    </row>
    <row r="30" spans="1:30" ht="23.1" customHeight="1">
      <c r="A30" s="903"/>
      <c r="C30" s="47"/>
      <c r="D30" s="1187"/>
      <c r="E30" s="1188"/>
      <c r="F30" s="1052"/>
      <c r="G30" s="1038"/>
      <c r="H30" s="713"/>
      <c r="I30" s="713"/>
      <c r="J30" s="713"/>
      <c r="K30" s="71">
        <f t="shared" si="1"/>
        <v>0</v>
      </c>
      <c r="L30" s="1053"/>
      <c r="M30" s="1054"/>
      <c r="N30" s="960"/>
      <c r="O30" s="39"/>
      <c r="Q30" s="783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5"/>
    </row>
    <row r="31" spans="1:30" ht="23.1" customHeight="1">
      <c r="A31" s="903"/>
      <c r="C31" s="47"/>
      <c r="D31" s="1187"/>
      <c r="E31" s="1188"/>
      <c r="F31" s="1055"/>
      <c r="G31" s="1056"/>
      <c r="H31" s="718"/>
      <c r="I31" s="718"/>
      <c r="J31" s="718"/>
      <c r="K31" s="71">
        <f t="shared" si="1"/>
        <v>0</v>
      </c>
      <c r="L31" s="1057"/>
      <c r="M31" s="1058"/>
      <c r="N31" s="1059"/>
      <c r="O31" s="39"/>
      <c r="Q31" s="783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5"/>
    </row>
    <row r="32" spans="1:30" ht="23.1" customHeight="1">
      <c r="A32" s="903"/>
      <c r="C32" s="47"/>
      <c r="D32" s="1187"/>
      <c r="E32" s="1188"/>
      <c r="F32" s="1055"/>
      <c r="G32" s="1056"/>
      <c r="H32" s="718"/>
      <c r="I32" s="718"/>
      <c r="J32" s="718"/>
      <c r="K32" s="71">
        <f t="shared" si="1"/>
        <v>0</v>
      </c>
      <c r="L32" s="1057"/>
      <c r="M32" s="1058"/>
      <c r="N32" s="1059"/>
      <c r="O32" s="39"/>
      <c r="Q32" s="780"/>
      <c r="R32" s="781"/>
      <c r="S32" s="781"/>
      <c r="T32" s="781"/>
      <c r="U32" s="781"/>
      <c r="V32" s="781"/>
      <c r="W32" s="781"/>
      <c r="X32" s="781"/>
      <c r="Y32" s="781"/>
      <c r="Z32" s="781"/>
      <c r="AA32" s="781"/>
      <c r="AB32" s="781"/>
      <c r="AC32" s="781"/>
      <c r="AD32" s="782"/>
    </row>
    <row r="33" spans="1:30" ht="23.1" customHeight="1">
      <c r="A33" s="903"/>
      <c r="C33" s="47"/>
      <c r="D33" s="1189"/>
      <c r="E33" s="1190"/>
      <c r="F33" s="1061"/>
      <c r="G33" s="1040"/>
      <c r="H33" s="723"/>
      <c r="I33" s="723"/>
      <c r="J33" s="723"/>
      <c r="K33" s="72">
        <f t="shared" si="1"/>
        <v>0</v>
      </c>
      <c r="L33" s="1062"/>
      <c r="M33" s="1063"/>
      <c r="N33" s="958"/>
      <c r="O33" s="39"/>
      <c r="Q33" s="780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2"/>
    </row>
    <row r="34" spans="1:30" ht="23.1" customHeight="1" thickBot="1">
      <c r="A34" s="903"/>
      <c r="C34" s="47"/>
      <c r="D34" s="62" t="s">
        <v>478</v>
      </c>
      <c r="E34" s="63"/>
      <c r="F34" s="70"/>
      <c r="G34" s="70">
        <f>SUM(G27:G33)</f>
        <v>0</v>
      </c>
      <c r="H34" s="70">
        <f>SUM(H27:H33)</f>
        <v>0</v>
      </c>
      <c r="I34" s="70">
        <f>SUM(I27:I33)</f>
        <v>0</v>
      </c>
      <c r="J34" s="70">
        <f>SUM(J27:J33)</f>
        <v>0</v>
      </c>
      <c r="K34" s="70">
        <f>SUM(K27:K33)</f>
        <v>0</v>
      </c>
      <c r="L34" s="75"/>
      <c r="M34" s="70">
        <f>SUM(M27:M33)</f>
        <v>0</v>
      </c>
      <c r="N34" s="64"/>
      <c r="O34" s="39"/>
      <c r="Q34" s="780"/>
      <c r="R34" s="781"/>
      <c r="S34" s="781"/>
      <c r="T34" s="781"/>
      <c r="U34" s="781"/>
      <c r="V34" s="781"/>
      <c r="W34" s="781"/>
      <c r="X34" s="781"/>
      <c r="Y34" s="781"/>
      <c r="Z34" s="781"/>
      <c r="AA34" s="781"/>
      <c r="AB34" s="781"/>
      <c r="AC34" s="781"/>
      <c r="AD34" s="782"/>
    </row>
    <row r="35" spans="1:30" ht="23.1" customHeight="1">
      <c r="A35" s="903"/>
      <c r="C35" s="47"/>
      <c r="D35" s="58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39"/>
      <c r="Q35" s="780"/>
      <c r="R35" s="781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2"/>
    </row>
    <row r="36" spans="1:30" ht="23.1" customHeight="1">
      <c r="A36" s="903"/>
      <c r="C36" s="47"/>
      <c r="D36" s="58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39"/>
      <c r="Q36" s="786"/>
      <c r="R36" s="787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88"/>
    </row>
    <row r="37" spans="1:30" ht="23.1" customHeight="1">
      <c r="A37" s="903"/>
      <c r="C37" s="47"/>
      <c r="D37" s="28" t="s">
        <v>507</v>
      </c>
      <c r="E37" s="8"/>
      <c r="F37" s="31"/>
      <c r="G37" s="31"/>
      <c r="H37" s="31"/>
      <c r="I37" s="31"/>
      <c r="J37" s="31"/>
      <c r="K37" s="31"/>
      <c r="L37" s="31"/>
      <c r="M37" s="31"/>
      <c r="N37" s="31"/>
      <c r="O37" s="39"/>
      <c r="Q37" s="786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8"/>
    </row>
    <row r="38" spans="1:30" ht="23.1" customHeight="1">
      <c r="A38" s="903"/>
      <c r="C38" s="47"/>
      <c r="D38" s="8"/>
      <c r="E38" s="8"/>
      <c r="F38" s="31"/>
      <c r="G38" s="31"/>
      <c r="H38" s="31"/>
      <c r="I38" s="31"/>
      <c r="J38" s="31"/>
      <c r="K38" s="31"/>
      <c r="L38" s="31"/>
      <c r="M38" s="31"/>
      <c r="N38" s="31"/>
      <c r="O38" s="39"/>
      <c r="Q38" s="786"/>
      <c r="R38" s="787"/>
      <c r="S38" s="787"/>
      <c r="T38" s="787"/>
      <c r="U38" s="787"/>
      <c r="V38" s="787"/>
      <c r="W38" s="787"/>
      <c r="X38" s="787"/>
      <c r="Y38" s="787"/>
      <c r="Z38" s="787"/>
      <c r="AA38" s="787"/>
      <c r="AB38" s="787"/>
      <c r="AC38" s="787"/>
      <c r="AD38" s="788"/>
    </row>
    <row r="39" spans="1:30" ht="23.1" customHeight="1">
      <c r="A39" s="903"/>
      <c r="C39" s="47"/>
      <c r="D39" s="84"/>
      <c r="E39" s="85"/>
      <c r="F39" s="86" t="s">
        <v>342</v>
      </c>
      <c r="G39" s="86" t="s">
        <v>495</v>
      </c>
      <c r="H39" s="1184" t="s">
        <v>460</v>
      </c>
      <c r="I39" s="1185"/>
      <c r="J39" s="1185"/>
      <c r="K39" s="86" t="s">
        <v>461</v>
      </c>
      <c r="L39" s="86" t="s">
        <v>496</v>
      </c>
      <c r="M39" s="86" t="s">
        <v>497</v>
      </c>
      <c r="N39" s="1182" t="s">
        <v>508</v>
      </c>
      <c r="O39" s="39"/>
      <c r="Q39" s="786"/>
      <c r="R39" s="787"/>
      <c r="S39" s="787"/>
      <c r="T39" s="787"/>
      <c r="U39" s="787"/>
      <c r="V39" s="787"/>
      <c r="W39" s="787"/>
      <c r="X39" s="787"/>
      <c r="Y39" s="787"/>
      <c r="Z39" s="787"/>
      <c r="AA39" s="787"/>
      <c r="AB39" s="787"/>
      <c r="AC39" s="787"/>
      <c r="AD39" s="788"/>
    </row>
    <row r="40" spans="1:30" ht="48.95" customHeight="1">
      <c r="A40" s="903"/>
      <c r="C40" s="47"/>
      <c r="D40" s="87" t="s">
        <v>499</v>
      </c>
      <c r="E40" s="88"/>
      <c r="F40" s="89" t="s">
        <v>500</v>
      </c>
      <c r="G40" s="89">
        <f>ejercicio</f>
        <v>2022</v>
      </c>
      <c r="H40" s="90" t="s">
        <v>501</v>
      </c>
      <c r="I40" s="91" t="s">
        <v>502</v>
      </c>
      <c r="J40" s="92" t="s">
        <v>503</v>
      </c>
      <c r="K40" s="89">
        <f>ejercicio</f>
        <v>2022</v>
      </c>
      <c r="L40" s="89" t="s">
        <v>509</v>
      </c>
      <c r="M40" s="89">
        <f>ejercicio</f>
        <v>2022</v>
      </c>
      <c r="N40" s="1183"/>
      <c r="O40" s="39"/>
      <c r="Q40" s="786"/>
      <c r="R40" s="787"/>
      <c r="S40" s="787"/>
      <c r="T40" s="787"/>
      <c r="U40" s="787"/>
      <c r="V40" s="787"/>
      <c r="W40" s="787"/>
      <c r="X40" s="787"/>
      <c r="Y40" s="787"/>
      <c r="Z40" s="787"/>
      <c r="AA40" s="787"/>
      <c r="AB40" s="787"/>
      <c r="AC40" s="787"/>
      <c r="AD40" s="788"/>
    </row>
    <row r="41" spans="1:30" ht="30" customHeight="1" thickBot="1">
      <c r="A41" s="903"/>
      <c r="C41" s="47"/>
      <c r="D41" s="1193" t="s">
        <v>510</v>
      </c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39"/>
      <c r="Q41" s="786"/>
      <c r="R41" s="787"/>
      <c r="S41" s="787"/>
      <c r="T41" s="787"/>
      <c r="U41" s="787"/>
      <c r="V41" s="787"/>
      <c r="W41" s="787"/>
      <c r="X41" s="787"/>
      <c r="Y41" s="787"/>
      <c r="Z41" s="787"/>
      <c r="AA41" s="787"/>
      <c r="AB41" s="787"/>
      <c r="AC41" s="787"/>
      <c r="AD41" s="788"/>
    </row>
    <row r="42" spans="1:30" ht="23.1" customHeight="1">
      <c r="A42" s="903"/>
      <c r="C42" s="47"/>
      <c r="D42" s="1191"/>
      <c r="E42" s="1192"/>
      <c r="F42" s="1047"/>
      <c r="G42" s="1048"/>
      <c r="H42" s="708"/>
      <c r="I42" s="708"/>
      <c r="J42" s="708"/>
      <c r="K42" s="77">
        <f t="shared" ref="K42:K48" si="2">SUM(G42:J42)</f>
        <v>0</v>
      </c>
      <c r="L42" s="1049"/>
      <c r="M42" s="1064"/>
      <c r="N42" s="1051"/>
      <c r="O42" s="39"/>
      <c r="Q42" s="786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8"/>
    </row>
    <row r="43" spans="1:30" ht="23.1" customHeight="1">
      <c r="A43" s="903"/>
      <c r="C43" s="47"/>
      <c r="D43" s="1187"/>
      <c r="E43" s="1188"/>
      <c r="F43" s="1052"/>
      <c r="G43" s="1038"/>
      <c r="H43" s="713"/>
      <c r="I43" s="713"/>
      <c r="J43" s="713"/>
      <c r="K43" s="71">
        <f t="shared" si="2"/>
        <v>0</v>
      </c>
      <c r="L43" s="1053"/>
      <c r="M43" s="1065"/>
      <c r="N43" s="960"/>
      <c r="O43" s="39"/>
      <c r="Q43" s="786"/>
      <c r="R43" s="787"/>
      <c r="S43" s="787"/>
      <c r="T43" s="787"/>
      <c r="U43" s="787"/>
      <c r="V43" s="787"/>
      <c r="W43" s="787"/>
      <c r="X43" s="787"/>
      <c r="Y43" s="787"/>
      <c r="Z43" s="787"/>
      <c r="AA43" s="787"/>
      <c r="AB43" s="787"/>
      <c r="AC43" s="787"/>
      <c r="AD43" s="788"/>
    </row>
    <row r="44" spans="1:30" ht="23.1" customHeight="1">
      <c r="A44" s="903"/>
      <c r="C44" s="47"/>
      <c r="D44" s="1187"/>
      <c r="E44" s="1188"/>
      <c r="F44" s="1052"/>
      <c r="G44" s="1038"/>
      <c r="H44" s="713"/>
      <c r="I44" s="713"/>
      <c r="J44" s="713"/>
      <c r="K44" s="71">
        <f t="shared" si="2"/>
        <v>0</v>
      </c>
      <c r="L44" s="1053"/>
      <c r="M44" s="1065"/>
      <c r="N44" s="960"/>
      <c r="O44" s="39"/>
      <c r="Q44" s="786"/>
      <c r="R44" s="787"/>
      <c r="S44" s="787"/>
      <c r="T44" s="787"/>
      <c r="U44" s="787"/>
      <c r="V44" s="787"/>
      <c r="W44" s="787"/>
      <c r="X44" s="787"/>
      <c r="Y44" s="787"/>
      <c r="Z44" s="787"/>
      <c r="AA44" s="787"/>
      <c r="AB44" s="787"/>
      <c r="AC44" s="787"/>
      <c r="AD44" s="788"/>
    </row>
    <row r="45" spans="1:30" ht="23.1" customHeight="1">
      <c r="A45" s="903"/>
      <c r="C45" s="47"/>
      <c r="D45" s="1187"/>
      <c r="E45" s="1188"/>
      <c r="F45" s="1052"/>
      <c r="G45" s="1038"/>
      <c r="H45" s="713"/>
      <c r="I45" s="713"/>
      <c r="J45" s="713"/>
      <c r="K45" s="71">
        <f t="shared" si="2"/>
        <v>0</v>
      </c>
      <c r="L45" s="1053"/>
      <c r="M45" s="1065"/>
      <c r="N45" s="960"/>
      <c r="O45" s="39"/>
      <c r="Q45" s="786"/>
      <c r="R45" s="787"/>
      <c r="S45" s="787"/>
      <c r="T45" s="787"/>
      <c r="U45" s="787"/>
      <c r="V45" s="787"/>
      <c r="W45" s="787"/>
      <c r="X45" s="787"/>
      <c r="Y45" s="787"/>
      <c r="Z45" s="787"/>
      <c r="AA45" s="787"/>
      <c r="AB45" s="787"/>
      <c r="AC45" s="787"/>
      <c r="AD45" s="788"/>
    </row>
    <row r="46" spans="1:30" ht="23.1" customHeight="1">
      <c r="A46" s="903"/>
      <c r="C46" s="47"/>
      <c r="D46" s="1187"/>
      <c r="E46" s="1188"/>
      <c r="F46" s="1055"/>
      <c r="G46" s="1056"/>
      <c r="H46" s="718"/>
      <c r="I46" s="718"/>
      <c r="J46" s="718"/>
      <c r="K46" s="71">
        <f t="shared" si="2"/>
        <v>0</v>
      </c>
      <c r="L46" s="1057"/>
      <c r="M46" s="1066"/>
      <c r="N46" s="1059"/>
      <c r="O46" s="39"/>
      <c r="Q46" s="786"/>
      <c r="R46" s="787"/>
      <c r="S46" s="787"/>
      <c r="T46" s="787"/>
      <c r="U46" s="787"/>
      <c r="V46" s="787"/>
      <c r="W46" s="787"/>
      <c r="X46" s="787"/>
      <c r="Y46" s="787"/>
      <c r="Z46" s="787"/>
      <c r="AA46" s="787"/>
      <c r="AB46" s="787"/>
      <c r="AC46" s="787"/>
      <c r="AD46" s="788"/>
    </row>
    <row r="47" spans="1:30" ht="23.1" customHeight="1">
      <c r="A47" s="903"/>
      <c r="C47" s="47"/>
      <c r="D47" s="1187"/>
      <c r="E47" s="1188"/>
      <c r="F47" s="1055"/>
      <c r="G47" s="1056"/>
      <c r="H47" s="718"/>
      <c r="I47" s="718"/>
      <c r="J47" s="718"/>
      <c r="K47" s="71">
        <f t="shared" si="2"/>
        <v>0</v>
      </c>
      <c r="L47" s="1057"/>
      <c r="M47" s="1066"/>
      <c r="N47" s="1059"/>
      <c r="O47" s="39"/>
      <c r="Q47" s="786"/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8"/>
    </row>
    <row r="48" spans="1:30" ht="23.1" customHeight="1">
      <c r="A48" s="903"/>
      <c r="C48" s="47"/>
      <c r="D48" s="1189"/>
      <c r="E48" s="1190"/>
      <c r="F48" s="1061"/>
      <c r="G48" s="1040"/>
      <c r="H48" s="723"/>
      <c r="I48" s="723"/>
      <c r="J48" s="723"/>
      <c r="K48" s="72">
        <f t="shared" si="2"/>
        <v>0</v>
      </c>
      <c r="L48" s="1062"/>
      <c r="M48" s="1067"/>
      <c r="N48" s="958"/>
      <c r="O48" s="39"/>
      <c r="Q48" s="786"/>
      <c r="R48" s="787"/>
      <c r="S48" s="787"/>
      <c r="T48" s="787"/>
      <c r="U48" s="787"/>
      <c r="V48" s="787"/>
      <c r="W48" s="787"/>
      <c r="X48" s="787"/>
      <c r="Y48" s="787"/>
      <c r="Z48" s="787"/>
      <c r="AA48" s="787"/>
      <c r="AB48" s="787"/>
      <c r="AC48" s="787"/>
      <c r="AD48" s="788"/>
    </row>
    <row r="49" spans="1:30" ht="23.1" customHeight="1" thickBot="1">
      <c r="A49" s="903"/>
      <c r="C49" s="47"/>
      <c r="D49" s="62" t="s">
        <v>478</v>
      </c>
      <c r="E49" s="63"/>
      <c r="F49" s="70"/>
      <c r="G49" s="70">
        <f>SUM(G42:G48)</f>
        <v>0</v>
      </c>
      <c r="H49" s="70">
        <f>SUM(H42:H48)</f>
        <v>0</v>
      </c>
      <c r="I49" s="70">
        <f>SUM(I42:I48)</f>
        <v>0</v>
      </c>
      <c r="J49" s="70">
        <f>SUM(J42:J48)</f>
        <v>0</v>
      </c>
      <c r="K49" s="70">
        <f>SUM(K42:K48)</f>
        <v>0</v>
      </c>
      <c r="L49" s="200"/>
      <c r="M49" s="70">
        <f>SUM(M42:M48)</f>
        <v>0</v>
      </c>
      <c r="N49" s="64"/>
      <c r="O49" s="39"/>
      <c r="Q49" s="786"/>
      <c r="R49" s="787"/>
      <c r="S49" s="787"/>
      <c r="T49" s="787"/>
      <c r="U49" s="787"/>
      <c r="V49" s="787"/>
      <c r="W49" s="787"/>
      <c r="X49" s="787"/>
      <c r="Y49" s="787"/>
      <c r="Z49" s="787"/>
      <c r="AA49" s="787"/>
      <c r="AB49" s="787"/>
      <c r="AC49" s="787"/>
      <c r="AD49" s="788"/>
    </row>
    <row r="50" spans="1:30" ht="29.1" customHeight="1" thickBot="1">
      <c r="A50" s="903"/>
      <c r="C50" s="47"/>
      <c r="D50" s="1194" t="s">
        <v>511</v>
      </c>
      <c r="E50" s="1194"/>
      <c r="F50" s="1194"/>
      <c r="G50" s="1194"/>
      <c r="H50" s="1194"/>
      <c r="I50" s="1194"/>
      <c r="J50" s="1194"/>
      <c r="K50" s="1194"/>
      <c r="L50" s="1194"/>
      <c r="M50" s="1194"/>
      <c r="N50" s="1194"/>
      <c r="O50" s="39"/>
      <c r="Q50" s="786"/>
      <c r="R50" s="787"/>
      <c r="S50" s="787"/>
      <c r="T50" s="787"/>
      <c r="U50" s="787"/>
      <c r="V50" s="787"/>
      <c r="W50" s="787"/>
      <c r="X50" s="787"/>
      <c r="Y50" s="787"/>
      <c r="Z50" s="787"/>
      <c r="AA50" s="787"/>
      <c r="AB50" s="787"/>
      <c r="AC50" s="787"/>
      <c r="AD50" s="788"/>
    </row>
    <row r="51" spans="1:30" ht="23.1" customHeight="1">
      <c r="A51" s="903"/>
      <c r="C51" s="47"/>
      <c r="D51" s="1187" t="s">
        <v>512</v>
      </c>
      <c r="E51" s="1188"/>
      <c r="F51" s="1047">
        <v>565</v>
      </c>
      <c r="G51" s="1048">
        <v>120</v>
      </c>
      <c r="H51" s="708"/>
      <c r="I51" s="708">
        <v>-120</v>
      </c>
      <c r="J51" s="708"/>
      <c r="K51" s="77">
        <f t="shared" ref="K51:K57" si="3">SUM(G51:J51)</f>
        <v>0</v>
      </c>
      <c r="L51" s="1049"/>
      <c r="M51" s="1050"/>
      <c r="N51" s="1051"/>
      <c r="O51" s="39"/>
      <c r="Q51" s="786"/>
      <c r="R51" s="787"/>
      <c r="S51" s="787"/>
      <c r="T51" s="787"/>
      <c r="U51" s="787"/>
      <c r="V51" s="787"/>
      <c r="W51" s="787"/>
      <c r="X51" s="787"/>
      <c r="Y51" s="787"/>
      <c r="Z51" s="787"/>
      <c r="AA51" s="787"/>
      <c r="AB51" s="787"/>
      <c r="AC51" s="787"/>
      <c r="AD51" s="788"/>
    </row>
    <row r="52" spans="1:30" ht="23.1" customHeight="1">
      <c r="A52" s="903"/>
      <c r="C52" s="47"/>
      <c r="D52" s="1187"/>
      <c r="E52" s="1188"/>
      <c r="F52" s="1052"/>
      <c r="G52" s="1038"/>
      <c r="H52" s="713"/>
      <c r="I52" s="713"/>
      <c r="J52" s="713"/>
      <c r="K52" s="71">
        <f t="shared" si="3"/>
        <v>0</v>
      </c>
      <c r="L52" s="1053"/>
      <c r="M52" s="1054"/>
      <c r="N52" s="960"/>
      <c r="O52" s="39"/>
      <c r="Q52" s="786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8"/>
    </row>
    <row r="53" spans="1:30" ht="23.1" customHeight="1">
      <c r="A53" s="903"/>
      <c r="C53" s="47"/>
      <c r="D53" s="1187"/>
      <c r="E53" s="1188"/>
      <c r="F53" s="1052"/>
      <c r="G53" s="1038"/>
      <c r="H53" s="713"/>
      <c r="I53" s="713"/>
      <c r="J53" s="713"/>
      <c r="K53" s="71">
        <f t="shared" si="3"/>
        <v>0</v>
      </c>
      <c r="L53" s="1053"/>
      <c r="M53" s="1054"/>
      <c r="N53" s="960"/>
      <c r="O53" s="39"/>
      <c r="Q53" s="786"/>
      <c r="R53" s="787"/>
      <c r="S53" s="787"/>
      <c r="T53" s="787"/>
      <c r="U53" s="787"/>
      <c r="V53" s="787"/>
      <c r="W53" s="787"/>
      <c r="X53" s="787"/>
      <c r="Y53" s="787"/>
      <c r="Z53" s="787"/>
      <c r="AA53" s="787"/>
      <c r="AB53" s="787"/>
      <c r="AC53" s="787"/>
      <c r="AD53" s="788"/>
    </row>
    <row r="54" spans="1:30" ht="23.1" customHeight="1">
      <c r="A54" s="903"/>
      <c r="C54" s="47"/>
      <c r="D54" s="1187"/>
      <c r="E54" s="1188"/>
      <c r="F54" s="1052"/>
      <c r="G54" s="1038"/>
      <c r="H54" s="713"/>
      <c r="I54" s="713"/>
      <c r="J54" s="713"/>
      <c r="K54" s="71">
        <f t="shared" si="3"/>
        <v>0</v>
      </c>
      <c r="L54" s="1053"/>
      <c r="M54" s="1054"/>
      <c r="N54" s="960"/>
      <c r="O54" s="39"/>
      <c r="Q54" s="786"/>
      <c r="R54" s="787"/>
      <c r="S54" s="787"/>
      <c r="T54" s="787"/>
      <c r="U54" s="787"/>
      <c r="V54" s="787"/>
      <c r="W54" s="787"/>
      <c r="X54" s="787"/>
      <c r="Y54" s="787"/>
      <c r="Z54" s="787"/>
      <c r="AA54" s="787"/>
      <c r="AB54" s="787"/>
      <c r="AC54" s="787"/>
      <c r="AD54" s="788"/>
    </row>
    <row r="55" spans="1:30" ht="23.1" customHeight="1">
      <c r="A55" s="903"/>
      <c r="C55" s="47"/>
      <c r="D55" s="1187"/>
      <c r="E55" s="1188"/>
      <c r="F55" s="1055"/>
      <c r="G55" s="1056"/>
      <c r="H55" s="718"/>
      <c r="I55" s="718"/>
      <c r="J55" s="718"/>
      <c r="K55" s="71">
        <f t="shared" si="3"/>
        <v>0</v>
      </c>
      <c r="L55" s="1057"/>
      <c r="M55" s="1058"/>
      <c r="N55" s="1059"/>
      <c r="O55" s="39"/>
      <c r="Q55" s="786"/>
      <c r="R55" s="787"/>
      <c r="S55" s="787"/>
      <c r="T55" s="787"/>
      <c r="U55" s="787"/>
      <c r="V55" s="787"/>
      <c r="W55" s="787"/>
      <c r="X55" s="787"/>
      <c r="Y55" s="787"/>
      <c r="Z55" s="787"/>
      <c r="AA55" s="787"/>
      <c r="AB55" s="787"/>
      <c r="AC55" s="787"/>
      <c r="AD55" s="788"/>
    </row>
    <row r="56" spans="1:30" ht="23.1" customHeight="1">
      <c r="A56" s="903"/>
      <c r="C56" s="47"/>
      <c r="D56" s="1187"/>
      <c r="E56" s="1188"/>
      <c r="F56" s="1055"/>
      <c r="G56" s="1056"/>
      <c r="H56" s="718"/>
      <c r="I56" s="718"/>
      <c r="J56" s="718"/>
      <c r="K56" s="71">
        <f t="shared" si="3"/>
        <v>0</v>
      </c>
      <c r="L56" s="1057"/>
      <c r="M56" s="1058"/>
      <c r="N56" s="1059"/>
      <c r="O56" s="39"/>
      <c r="Q56" s="786"/>
      <c r="R56" s="787"/>
      <c r="S56" s="787"/>
      <c r="T56" s="787"/>
      <c r="U56" s="787"/>
      <c r="V56" s="787"/>
      <c r="W56" s="787"/>
      <c r="X56" s="787"/>
      <c r="Y56" s="787"/>
      <c r="Z56" s="787"/>
      <c r="AA56" s="787"/>
      <c r="AB56" s="787"/>
      <c r="AC56" s="787"/>
      <c r="AD56" s="788"/>
    </row>
    <row r="57" spans="1:30" ht="23.1" customHeight="1">
      <c r="A57" s="903"/>
      <c r="C57" s="47"/>
      <c r="D57" s="1189"/>
      <c r="E57" s="1190"/>
      <c r="F57" s="1061"/>
      <c r="G57" s="1040"/>
      <c r="H57" s="723"/>
      <c r="I57" s="723"/>
      <c r="J57" s="723"/>
      <c r="K57" s="72">
        <f t="shared" si="3"/>
        <v>0</v>
      </c>
      <c r="L57" s="1062"/>
      <c r="M57" s="1063"/>
      <c r="N57" s="958"/>
      <c r="O57" s="39"/>
      <c r="Q57" s="786"/>
      <c r="R57" s="787"/>
      <c r="S57" s="787"/>
      <c r="T57" s="787"/>
      <c r="U57" s="787"/>
      <c r="V57" s="787"/>
      <c r="W57" s="787"/>
      <c r="X57" s="787"/>
      <c r="Y57" s="787"/>
      <c r="Z57" s="787"/>
      <c r="AA57" s="787"/>
      <c r="AB57" s="787"/>
      <c r="AC57" s="787"/>
      <c r="AD57" s="788"/>
    </row>
    <row r="58" spans="1:30" ht="23.1" customHeight="1" thickBot="1">
      <c r="A58" s="903"/>
      <c r="C58" s="47"/>
      <c r="D58" s="62" t="s">
        <v>478</v>
      </c>
      <c r="E58" s="63"/>
      <c r="F58" s="70"/>
      <c r="G58" s="70">
        <f>SUM(G51:G57)</f>
        <v>120</v>
      </c>
      <c r="H58" s="70">
        <f>SUM(H51:H57)</f>
        <v>0</v>
      </c>
      <c r="I58" s="70">
        <f>SUM(I51:I57)</f>
        <v>-120</v>
      </c>
      <c r="J58" s="70">
        <f>SUM(J51:J57)</f>
        <v>0</v>
      </c>
      <c r="K58" s="70">
        <f>SUM(K51:K57)</f>
        <v>0</v>
      </c>
      <c r="L58" s="75"/>
      <c r="M58" s="70">
        <f>SUM(M51:M57)</f>
        <v>0</v>
      </c>
      <c r="N58" s="64"/>
      <c r="O58" s="39"/>
      <c r="Q58" s="786"/>
      <c r="R58" s="787"/>
      <c r="S58" s="787"/>
      <c r="T58" s="787"/>
      <c r="U58" s="787"/>
      <c r="V58" s="787"/>
      <c r="W58" s="787"/>
      <c r="X58" s="787"/>
      <c r="Y58" s="787"/>
      <c r="Z58" s="787"/>
      <c r="AA58" s="787"/>
      <c r="AB58" s="787"/>
      <c r="AC58" s="787"/>
      <c r="AD58" s="788"/>
    </row>
    <row r="59" spans="1:30" ht="23.1" customHeight="1">
      <c r="A59" s="903"/>
      <c r="C59" s="47"/>
      <c r="D59" s="58"/>
      <c r="E59" s="58"/>
      <c r="F59" s="59"/>
      <c r="G59" s="59"/>
      <c r="H59" s="59"/>
      <c r="I59" s="59"/>
      <c r="J59" s="59"/>
      <c r="K59" s="59"/>
      <c r="L59" s="59"/>
      <c r="M59" s="59"/>
      <c r="N59" s="59"/>
      <c r="O59" s="39"/>
      <c r="Q59" s="786"/>
      <c r="R59" s="787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787"/>
      <c r="AD59" s="788"/>
    </row>
    <row r="60" spans="1:30" ht="23.1" customHeight="1">
      <c r="A60" s="903"/>
      <c r="C60" s="47"/>
      <c r="D60" s="68" t="s">
        <v>179</v>
      </c>
      <c r="E60" s="66"/>
      <c r="F60" s="67"/>
      <c r="G60" s="67"/>
      <c r="H60" s="67"/>
      <c r="I60" s="67"/>
      <c r="J60" s="67"/>
      <c r="K60" s="67"/>
      <c r="L60" s="67"/>
      <c r="M60" s="67"/>
      <c r="N60" s="31"/>
      <c r="O60" s="39"/>
      <c r="Q60" s="786"/>
      <c r="R60" s="787"/>
      <c r="S60" s="787"/>
      <c r="T60" s="787"/>
      <c r="U60" s="787"/>
      <c r="V60" s="787"/>
      <c r="W60" s="787"/>
      <c r="X60" s="787"/>
      <c r="Y60" s="787"/>
      <c r="Z60" s="787"/>
      <c r="AA60" s="787"/>
      <c r="AB60" s="787"/>
      <c r="AC60" s="787"/>
      <c r="AD60" s="788"/>
    </row>
    <row r="61" spans="1:30" ht="18">
      <c r="A61" s="975"/>
      <c r="C61" s="47"/>
      <c r="D61" s="66" t="s">
        <v>513</v>
      </c>
      <c r="E61" s="66"/>
      <c r="F61" s="67"/>
      <c r="G61" s="67"/>
      <c r="H61" s="67"/>
      <c r="I61" s="67"/>
      <c r="J61" s="67"/>
      <c r="K61" s="67"/>
      <c r="L61" s="67"/>
      <c r="M61" s="67"/>
      <c r="N61" s="31"/>
      <c r="O61" s="39"/>
      <c r="Q61" s="786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787"/>
      <c r="AD61" s="788"/>
    </row>
    <row r="62" spans="1:30" ht="18">
      <c r="A62" s="975"/>
      <c r="C62" s="47"/>
      <c r="D62" s="66" t="s">
        <v>514</v>
      </c>
      <c r="E62" s="66"/>
      <c r="F62" s="67"/>
      <c r="G62" s="67"/>
      <c r="H62" s="67"/>
      <c r="I62" s="67"/>
      <c r="J62" s="67"/>
      <c r="K62" s="67"/>
      <c r="L62" s="67"/>
      <c r="M62" s="67"/>
      <c r="N62" s="31"/>
      <c r="O62" s="39"/>
      <c r="Q62" s="786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  <c r="AC62" s="787"/>
      <c r="AD62" s="788"/>
    </row>
    <row r="63" spans="1:30" ht="18">
      <c r="A63" s="975"/>
      <c r="C63" s="47"/>
      <c r="D63" s="66" t="s">
        <v>515</v>
      </c>
      <c r="E63" s="66"/>
      <c r="F63" s="67"/>
      <c r="G63" s="67"/>
      <c r="H63" s="67"/>
      <c r="I63" s="67"/>
      <c r="J63" s="67"/>
      <c r="K63" s="67"/>
      <c r="L63" s="67"/>
      <c r="M63" s="67"/>
      <c r="N63" s="31"/>
      <c r="O63" s="39"/>
      <c r="Q63" s="786"/>
      <c r="R63" s="787"/>
      <c r="S63" s="787"/>
      <c r="T63" s="787"/>
      <c r="U63" s="787"/>
      <c r="V63" s="787"/>
      <c r="W63" s="787"/>
      <c r="X63" s="787"/>
      <c r="Y63" s="787"/>
      <c r="Z63" s="787"/>
      <c r="AA63" s="787"/>
      <c r="AB63" s="787"/>
      <c r="AC63" s="787"/>
      <c r="AD63" s="788"/>
    </row>
    <row r="64" spans="1:30" ht="18">
      <c r="A64" s="975"/>
      <c r="C64" s="47"/>
      <c r="D64" s="66" t="s">
        <v>516</v>
      </c>
      <c r="E64" s="66"/>
      <c r="F64" s="67"/>
      <c r="G64" s="67"/>
      <c r="H64" s="67"/>
      <c r="I64" s="67"/>
      <c r="J64" s="67"/>
      <c r="K64" s="67"/>
      <c r="L64" s="67"/>
      <c r="M64" s="67"/>
      <c r="N64" s="31"/>
      <c r="O64" s="39"/>
      <c r="Q64" s="786"/>
      <c r="R64" s="787"/>
      <c r="S64" s="787"/>
      <c r="T64" s="787"/>
      <c r="U64" s="787"/>
      <c r="V64" s="787"/>
      <c r="W64" s="787"/>
      <c r="X64" s="787"/>
      <c r="Y64" s="787"/>
      <c r="Z64" s="787"/>
      <c r="AA64" s="787"/>
      <c r="AB64" s="787"/>
      <c r="AC64" s="787"/>
      <c r="AD64" s="788"/>
    </row>
    <row r="65" spans="1:30" ht="18">
      <c r="A65" s="975"/>
      <c r="C65" s="47"/>
      <c r="D65" s="66" t="s">
        <v>517</v>
      </c>
      <c r="E65" s="66"/>
      <c r="F65" s="67"/>
      <c r="G65" s="67"/>
      <c r="H65" s="67"/>
      <c r="I65" s="67"/>
      <c r="J65" s="67"/>
      <c r="K65" s="67"/>
      <c r="L65" s="67"/>
      <c r="M65" s="67"/>
      <c r="N65" s="31"/>
      <c r="O65" s="39"/>
      <c r="Q65" s="786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787"/>
      <c r="AD65" s="788"/>
    </row>
    <row r="66" spans="1:30" ht="18">
      <c r="A66" s="975"/>
      <c r="C66" s="47"/>
      <c r="D66" s="66" t="s">
        <v>518</v>
      </c>
      <c r="E66" s="66"/>
      <c r="F66" s="67"/>
      <c r="G66" s="67"/>
      <c r="H66" s="67"/>
      <c r="I66" s="67"/>
      <c r="J66" s="67"/>
      <c r="K66" s="67"/>
      <c r="L66" s="67"/>
      <c r="M66" s="67"/>
      <c r="N66" s="31"/>
      <c r="O66" s="39"/>
      <c r="Q66" s="786"/>
      <c r="R66" s="787"/>
      <c r="S66" s="787"/>
      <c r="T66" s="787"/>
      <c r="U66" s="787"/>
      <c r="V66" s="787"/>
      <c r="W66" s="787"/>
      <c r="X66" s="787"/>
      <c r="Y66" s="787"/>
      <c r="Z66" s="787"/>
      <c r="AA66" s="787"/>
      <c r="AB66" s="787"/>
      <c r="AC66" s="787"/>
      <c r="AD66" s="788"/>
    </row>
    <row r="67" spans="1:30" ht="18">
      <c r="A67" s="975"/>
      <c r="C67" s="47"/>
      <c r="D67" s="66" t="s">
        <v>519</v>
      </c>
      <c r="E67" s="66"/>
      <c r="F67" s="67"/>
      <c r="G67" s="67"/>
      <c r="H67" s="67"/>
      <c r="I67" s="67"/>
      <c r="J67" s="67"/>
      <c r="K67" s="67"/>
      <c r="L67" s="67"/>
      <c r="M67" s="67"/>
      <c r="N67" s="31"/>
      <c r="O67" s="39"/>
      <c r="Q67" s="786"/>
      <c r="R67" s="787"/>
      <c r="S67" s="787"/>
      <c r="T67" s="787"/>
      <c r="U67" s="787"/>
      <c r="V67" s="787"/>
      <c r="W67" s="787"/>
      <c r="X67" s="787"/>
      <c r="Y67" s="787"/>
      <c r="Z67" s="787"/>
      <c r="AA67" s="787"/>
      <c r="AB67" s="787"/>
      <c r="AC67" s="787"/>
      <c r="AD67" s="788"/>
    </row>
    <row r="68" spans="1:30" ht="18">
      <c r="A68" s="975"/>
      <c r="C68" s="47"/>
      <c r="D68" s="66" t="s">
        <v>520</v>
      </c>
      <c r="E68" s="66"/>
      <c r="F68" s="67"/>
      <c r="G68" s="67"/>
      <c r="H68" s="67"/>
      <c r="I68" s="67"/>
      <c r="J68" s="67"/>
      <c r="K68" s="67"/>
      <c r="L68" s="67"/>
      <c r="M68" s="67"/>
      <c r="N68" s="31"/>
      <c r="O68" s="39"/>
      <c r="Q68" s="786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88"/>
    </row>
    <row r="69" spans="1:30" ht="18">
      <c r="A69" s="975"/>
      <c r="C69" s="47"/>
      <c r="D69" s="66" t="s">
        <v>521</v>
      </c>
      <c r="E69" s="66"/>
      <c r="F69" s="67"/>
      <c r="G69" s="67"/>
      <c r="H69" s="67"/>
      <c r="I69" s="67"/>
      <c r="J69" s="67"/>
      <c r="K69" s="67"/>
      <c r="L69" s="67"/>
      <c r="M69" s="67"/>
      <c r="N69" s="31"/>
      <c r="O69" s="39"/>
      <c r="Q69" s="786"/>
      <c r="R69" s="787"/>
      <c r="S69" s="787"/>
      <c r="T69" s="787"/>
      <c r="U69" s="787"/>
      <c r="V69" s="787"/>
      <c r="W69" s="787"/>
      <c r="X69" s="787"/>
      <c r="Y69" s="787"/>
      <c r="Z69" s="787"/>
      <c r="AA69" s="787"/>
      <c r="AB69" s="787"/>
      <c r="AC69" s="787"/>
      <c r="AD69" s="788"/>
    </row>
    <row r="70" spans="1:30" ht="18">
      <c r="A70" s="975"/>
      <c r="C70" s="47"/>
      <c r="D70" s="66" t="s">
        <v>522</v>
      </c>
      <c r="E70" s="66"/>
      <c r="F70" s="67"/>
      <c r="G70" s="67"/>
      <c r="H70" s="67"/>
      <c r="I70" s="67"/>
      <c r="J70" s="67"/>
      <c r="K70" s="67"/>
      <c r="L70" s="67"/>
      <c r="M70" s="67"/>
      <c r="N70" s="31"/>
      <c r="O70" s="39"/>
      <c r="Q70" s="786"/>
      <c r="R70" s="787"/>
      <c r="S70" s="787"/>
      <c r="T70" s="787"/>
      <c r="U70" s="787"/>
      <c r="V70" s="787"/>
      <c r="W70" s="787"/>
      <c r="X70" s="787"/>
      <c r="Y70" s="787"/>
      <c r="Z70" s="787"/>
      <c r="AA70" s="787"/>
      <c r="AB70" s="787"/>
      <c r="AC70" s="787"/>
      <c r="AD70" s="788"/>
    </row>
    <row r="71" spans="1:30" ht="23.1" customHeight="1" thickBot="1">
      <c r="A71" s="975"/>
      <c r="C71" s="50"/>
      <c r="D71" s="1148"/>
      <c r="E71" s="1148"/>
      <c r="F71" s="1148"/>
      <c r="G71" s="1148"/>
      <c r="H71" s="26"/>
      <c r="I71" s="26"/>
      <c r="J71" s="26"/>
      <c r="K71" s="26"/>
      <c r="L71" s="26"/>
      <c r="M71" s="26"/>
      <c r="N71" s="51"/>
      <c r="O71" s="52"/>
      <c r="Q71" s="789"/>
      <c r="R71" s="790"/>
      <c r="S71" s="790"/>
      <c r="T71" s="790"/>
      <c r="U71" s="790"/>
      <c r="V71" s="790"/>
      <c r="W71" s="790"/>
      <c r="X71" s="790"/>
      <c r="Y71" s="790"/>
      <c r="Z71" s="790"/>
      <c r="AA71" s="790"/>
      <c r="AB71" s="790"/>
      <c r="AC71" s="790"/>
      <c r="AD71" s="791"/>
    </row>
    <row r="72" spans="1:30" ht="23.1" customHeight="1">
      <c r="A72" s="369"/>
      <c r="P72" s="32" t="s">
        <v>140</v>
      </c>
    </row>
    <row r="73" spans="1:30" ht="15">
      <c r="A73" s="369"/>
      <c r="D73" s="53" t="s">
        <v>39</v>
      </c>
      <c r="N73" s="30" t="s">
        <v>523</v>
      </c>
    </row>
    <row r="74" spans="1:30" ht="15">
      <c r="A74" s="369"/>
      <c r="D74" s="53" t="s">
        <v>41</v>
      </c>
    </row>
    <row r="75" spans="1:30" ht="15">
      <c r="A75" s="369"/>
      <c r="D75" s="53" t="s">
        <v>42</v>
      </c>
    </row>
    <row r="76" spans="1:30" ht="15">
      <c r="A76" s="369"/>
      <c r="D76" s="53" t="s">
        <v>43</v>
      </c>
    </row>
    <row r="77" spans="1:30" ht="15">
      <c r="A77" s="369"/>
      <c r="D77" s="53" t="s">
        <v>44</v>
      </c>
    </row>
    <row r="78" spans="1:30" ht="23.1" customHeight="1">
      <c r="A78" s="369"/>
    </row>
    <row r="79" spans="1:30" ht="23.1" customHeight="1">
      <c r="A79" s="369"/>
    </row>
    <row r="80" spans="1:30" ht="23.1" customHeight="1">
      <c r="A80" s="369"/>
    </row>
  </sheetData>
  <sheetProtection algorithmName="SHA-512" hashValue="uAiwXLdA+wViL9bHFJsj+96wLEvDFiRh9F5QOGxurhS35iofO+J6Fvw4+L+6hcodimn/dF5t//O7UiLrkR7Wjw==" saltValue="Yb7n/5ibFoBNXGUI1/PFWA==" spinCount="100000" sheet="1" insertRows="0"/>
  <mergeCells count="39">
    <mergeCell ref="D71:G71"/>
    <mergeCell ref="H15:J15"/>
    <mergeCell ref="D17:N17"/>
    <mergeCell ref="D26:N26"/>
    <mergeCell ref="H39:J39"/>
    <mergeCell ref="N39:N40"/>
    <mergeCell ref="D41:N41"/>
    <mergeCell ref="D50:N50"/>
    <mergeCell ref="D18:E18"/>
    <mergeCell ref="D19:E19"/>
    <mergeCell ref="D20:E20"/>
    <mergeCell ref="D21:E21"/>
    <mergeCell ref="D22:E22"/>
    <mergeCell ref="D23:E23"/>
    <mergeCell ref="D27:E27"/>
    <mergeCell ref="D28:E28"/>
    <mergeCell ref="N6:N7"/>
    <mergeCell ref="E9:N9"/>
    <mergeCell ref="D12:E12"/>
    <mergeCell ref="N15:N16"/>
    <mergeCell ref="D29:E29"/>
    <mergeCell ref="D30:E30"/>
    <mergeCell ref="D31:E31"/>
    <mergeCell ref="D32:E32"/>
    <mergeCell ref="D33:E33"/>
    <mergeCell ref="D42:E42"/>
    <mergeCell ref="D43:E43"/>
    <mergeCell ref="D44:E44"/>
    <mergeCell ref="D45:E45"/>
    <mergeCell ref="D46:E46"/>
    <mergeCell ref="D54:E54"/>
    <mergeCell ref="D55:E55"/>
    <mergeCell ref="D56:E56"/>
    <mergeCell ref="D57:E57"/>
    <mergeCell ref="D47:E47"/>
    <mergeCell ref="D48:E48"/>
    <mergeCell ref="D51:E51"/>
    <mergeCell ref="D52:E52"/>
    <mergeCell ref="D53:E53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2:AK162"/>
  <sheetViews>
    <sheetView topLeftCell="I81" zoomScale="70" zoomScaleNormal="70" zoomScalePageLayoutView="125" workbookViewId="0">
      <selection activeCell="Y110" sqref="Y110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15.88671875" style="32" customWidth="1"/>
    <col min="6" max="6" width="27.88671875" style="33" customWidth="1"/>
    <col min="7" max="7" width="19.33203125" style="33" customWidth="1"/>
    <col min="8" max="14" width="15.109375" style="33" customWidth="1"/>
    <col min="15" max="15" width="12.88671875" style="33" customWidth="1"/>
    <col min="16" max="18" width="9.6640625" style="33" customWidth="1"/>
    <col min="19" max="19" width="13" style="33" customWidth="1"/>
    <col min="20" max="20" width="3.33203125" style="32" customWidth="1"/>
    <col min="21" max="21" width="3.44140625" style="32" customWidth="1"/>
    <col min="22" max="23" width="10.6640625" style="32"/>
    <col min="24" max="24" width="14.33203125" style="32" customWidth="1"/>
    <col min="25" max="25" width="16.109375" style="32" customWidth="1"/>
    <col min="26" max="16384" width="10.6640625" style="32"/>
  </cols>
  <sheetData>
    <row r="2" spans="1:37" ht="23.1" customHeight="1">
      <c r="A2" s="369"/>
      <c r="E2" s="347" t="str">
        <f>_GENERAL!D2</f>
        <v>Área de Presidencia, Hacienda y Modernización</v>
      </c>
    </row>
    <row r="3" spans="1:37" ht="23.1" customHeight="1">
      <c r="A3" s="369"/>
      <c r="E3" s="347" t="str">
        <f>_GENERAL!D3</f>
        <v>Dirección Insular de Hacienda</v>
      </c>
    </row>
    <row r="4" spans="1:37" ht="23.1" customHeight="1" thickBot="1">
      <c r="A4" s="369"/>
      <c r="B4" s="32" t="s">
        <v>100</v>
      </c>
    </row>
    <row r="5" spans="1:37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V5" s="757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9"/>
    </row>
    <row r="6" spans="1:37" ht="30" customHeight="1">
      <c r="A6" s="975"/>
      <c r="C6" s="38"/>
      <c r="D6" s="29" t="s">
        <v>2</v>
      </c>
      <c r="R6" s="1140">
        <f>ejercicio</f>
        <v>2022</v>
      </c>
      <c r="S6" s="732"/>
      <c r="T6" s="39"/>
      <c r="V6" s="174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7"/>
    </row>
    <row r="7" spans="1:37" ht="30" customHeight="1">
      <c r="A7" s="975"/>
      <c r="C7" s="38"/>
      <c r="D7" s="29" t="s">
        <v>3</v>
      </c>
      <c r="R7" s="1140"/>
      <c r="S7" s="732"/>
      <c r="T7" s="39"/>
      <c r="V7" s="777"/>
      <c r="W7" s="813" t="s">
        <v>101</v>
      </c>
      <c r="X7" s="778"/>
      <c r="Y7" s="778"/>
      <c r="Z7" s="778"/>
      <c r="AA7" s="778"/>
      <c r="AB7" s="778"/>
      <c r="AC7" s="778"/>
      <c r="AD7" s="778"/>
      <c r="AE7" s="778"/>
      <c r="AF7" s="778"/>
      <c r="AG7" s="778"/>
      <c r="AH7" s="778"/>
      <c r="AI7" s="779"/>
    </row>
    <row r="8" spans="1:37" ht="30" customHeight="1">
      <c r="A8" s="975"/>
      <c r="C8" s="38"/>
      <c r="D8" s="40"/>
      <c r="Q8" s="41"/>
      <c r="R8" s="41"/>
      <c r="S8" s="41"/>
      <c r="T8" s="39"/>
      <c r="V8" s="780"/>
      <c r="W8" s="781"/>
      <c r="X8" s="781"/>
      <c r="Y8" s="781"/>
      <c r="Z8" s="781"/>
      <c r="AA8" s="781"/>
      <c r="AB8" s="781"/>
      <c r="AC8" s="781"/>
      <c r="AD8" s="781"/>
      <c r="AE8" s="781"/>
      <c r="AF8" s="781"/>
      <c r="AG8" s="781"/>
      <c r="AH8" s="781"/>
      <c r="AI8" s="782"/>
    </row>
    <row r="9" spans="1:37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254"/>
      <c r="T9" s="936"/>
      <c r="U9" s="970"/>
      <c r="V9" s="780"/>
      <c r="W9" s="1195" t="s">
        <v>524</v>
      </c>
      <c r="X9" s="1195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2"/>
      <c r="AJ9" s="970"/>
      <c r="AK9" s="970"/>
    </row>
    <row r="10" spans="1:37" ht="6.95" customHeight="1">
      <c r="A10" s="975"/>
      <c r="C10" s="38"/>
      <c r="T10" s="39"/>
      <c r="V10" s="174"/>
      <c r="AI10" s="177"/>
    </row>
    <row r="11" spans="1:37" s="46" customFormat="1" ht="30" customHeight="1">
      <c r="A11" s="901"/>
      <c r="C11" s="42"/>
      <c r="D11" s="43" t="s">
        <v>525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V11" s="780"/>
      <c r="W11" s="1196" t="s">
        <v>526</v>
      </c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782"/>
      <c r="AJ11" s="28"/>
      <c r="AK11" s="28"/>
    </row>
    <row r="12" spans="1:37" s="46" customFormat="1" ht="30" customHeight="1">
      <c r="A12" s="901"/>
      <c r="C12" s="42"/>
      <c r="D12" s="1160"/>
      <c r="E12" s="116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45"/>
      <c r="V12" s="780"/>
      <c r="W12" s="912" t="s">
        <v>527</v>
      </c>
      <c r="X12" s="913"/>
      <c r="Y12" s="913"/>
      <c r="Z12" s="913"/>
      <c r="AA12" s="913"/>
      <c r="AB12" s="913"/>
      <c r="AC12" s="913"/>
      <c r="AD12" s="913"/>
      <c r="AE12" s="913"/>
      <c r="AF12" s="913"/>
      <c r="AG12" s="913"/>
      <c r="AH12" s="914"/>
      <c r="AI12" s="782"/>
      <c r="AJ12" s="28"/>
      <c r="AK12" s="28"/>
    </row>
    <row r="13" spans="1:37" s="46" customFormat="1" ht="30" customHeight="1">
      <c r="A13" s="901"/>
      <c r="C13" s="42"/>
      <c r="D13" s="28" t="s">
        <v>528</v>
      </c>
      <c r="E13" s="8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45"/>
      <c r="V13" s="780"/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1"/>
      <c r="AH13" s="781"/>
      <c r="AI13" s="782"/>
      <c r="AJ13" s="28"/>
      <c r="AK13" s="28"/>
    </row>
    <row r="14" spans="1:37" s="46" customFormat="1" ht="30" customHeight="1">
      <c r="A14" s="902"/>
      <c r="C14" s="42"/>
      <c r="D14" s="8" t="s">
        <v>529</v>
      </c>
      <c r="E14" s="8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5"/>
      <c r="V14" s="780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2"/>
      <c r="AJ14" s="28"/>
      <c r="AK14" s="28"/>
    </row>
    <row r="15" spans="1:37" s="46" customFormat="1" ht="30" customHeight="1">
      <c r="A15" s="903"/>
      <c r="C15" s="42"/>
      <c r="D15" s="1204"/>
      <c r="E15" s="1205"/>
      <c r="F15" s="1204" t="s">
        <v>530</v>
      </c>
      <c r="G15" s="1205"/>
      <c r="H15" s="1208" t="s">
        <v>531</v>
      </c>
      <c r="I15" s="1209"/>
      <c r="J15" s="1209"/>
      <c r="K15" s="1209"/>
      <c r="L15" s="1209"/>
      <c r="M15" s="1210"/>
      <c r="N15" s="1211" t="s">
        <v>532</v>
      </c>
      <c r="O15" s="1212"/>
      <c r="P15" s="328"/>
      <c r="Q15" s="328"/>
      <c r="R15" s="328"/>
      <c r="S15" s="328"/>
      <c r="T15" s="45"/>
      <c r="V15" s="780"/>
      <c r="W15" s="781"/>
      <c r="X15" s="1203" t="s">
        <v>533</v>
      </c>
      <c r="Y15" s="1203"/>
      <c r="Z15" s="781"/>
      <c r="AA15" s="781"/>
      <c r="AB15" s="781"/>
      <c r="AC15" s="781"/>
      <c r="AD15" s="781"/>
      <c r="AE15" s="781"/>
      <c r="AF15" s="781"/>
      <c r="AG15" s="781"/>
      <c r="AH15" s="781"/>
      <c r="AI15" s="782"/>
    </row>
    <row r="16" spans="1:37" s="326" customFormat="1" ht="36" customHeight="1">
      <c r="A16" s="903"/>
      <c r="C16" s="327"/>
      <c r="D16" s="1206" t="s">
        <v>534</v>
      </c>
      <c r="E16" s="1207"/>
      <c r="F16" s="1206" t="s">
        <v>535</v>
      </c>
      <c r="G16" s="1217"/>
      <c r="H16" s="360" t="s">
        <v>536</v>
      </c>
      <c r="I16" s="1201">
        <f>ejercicio-1</f>
        <v>2021</v>
      </c>
      <c r="J16" s="1210"/>
      <c r="K16" s="361" t="s">
        <v>536</v>
      </c>
      <c r="L16" s="1201">
        <f>ejercicio</f>
        <v>2022</v>
      </c>
      <c r="M16" s="1210"/>
      <c r="N16" s="1213" t="s">
        <v>537</v>
      </c>
      <c r="O16" s="1214"/>
      <c r="P16" s="331"/>
      <c r="Q16" s="331"/>
      <c r="R16" s="331"/>
      <c r="S16" s="331" t="s">
        <v>538</v>
      </c>
      <c r="T16" s="330"/>
      <c r="V16" s="786"/>
      <c r="W16" s="787"/>
      <c r="X16" s="1203"/>
      <c r="Y16" s="1203"/>
      <c r="Z16" s="781"/>
      <c r="AA16" s="787"/>
      <c r="AB16" s="787"/>
      <c r="AC16" s="787"/>
      <c r="AD16" s="787"/>
      <c r="AE16" s="787"/>
      <c r="AF16" s="787"/>
      <c r="AG16" s="787"/>
      <c r="AH16" s="787"/>
      <c r="AI16" s="788"/>
    </row>
    <row r="17" spans="1:35" s="61" customFormat="1" ht="23.1" customHeight="1">
      <c r="A17" s="903"/>
      <c r="B17" s="604"/>
      <c r="C17" s="1068"/>
      <c r="D17" s="1215" t="s">
        <v>539</v>
      </c>
      <c r="E17" s="1216"/>
      <c r="F17" s="1215"/>
      <c r="G17" s="1218"/>
      <c r="H17" s="354">
        <f>ejercicio-1</f>
        <v>2021</v>
      </c>
      <c r="I17" s="843" t="s">
        <v>540</v>
      </c>
      <c r="J17" s="844" t="s">
        <v>541</v>
      </c>
      <c r="K17" s="355">
        <f>ejercicio</f>
        <v>2022</v>
      </c>
      <c r="L17" s="843" t="s">
        <v>540</v>
      </c>
      <c r="M17" s="844" t="s">
        <v>541</v>
      </c>
      <c r="N17" s="353">
        <f>ejercicio-1</f>
        <v>2021</v>
      </c>
      <c r="O17" s="329">
        <f>ejercicio</f>
        <v>2022</v>
      </c>
      <c r="P17" s="329" t="s">
        <v>542</v>
      </c>
      <c r="Q17" s="329" t="s">
        <v>543</v>
      </c>
      <c r="R17" s="329" t="s">
        <v>544</v>
      </c>
      <c r="S17" s="329" t="s">
        <v>545</v>
      </c>
      <c r="T17" s="1069"/>
      <c r="U17" s="604"/>
      <c r="V17" s="786"/>
      <c r="W17" s="787"/>
      <c r="X17" s="353">
        <f>ejercicio-1</f>
        <v>2021</v>
      </c>
      <c r="Y17" s="329">
        <f>ejercicio</f>
        <v>2022</v>
      </c>
      <c r="Z17" s="781"/>
      <c r="AA17" s="787"/>
      <c r="AB17" s="787"/>
      <c r="AC17" s="787"/>
      <c r="AD17" s="787"/>
      <c r="AE17" s="787"/>
      <c r="AF17" s="787"/>
      <c r="AG17" s="787"/>
      <c r="AH17" s="787"/>
      <c r="AI17" s="788"/>
    </row>
    <row r="18" spans="1:35" s="80" customFormat="1" ht="8.1" customHeight="1">
      <c r="A18" s="1070"/>
      <c r="B18" s="970"/>
      <c r="C18" s="935"/>
      <c r="D18" s="29"/>
      <c r="E18" s="29"/>
      <c r="F18" s="29"/>
      <c r="G18" s="970"/>
      <c r="H18" s="29"/>
      <c r="I18" s="29"/>
      <c r="J18" s="29"/>
      <c r="K18" s="29"/>
      <c r="L18" s="29"/>
      <c r="M18" s="29"/>
      <c r="N18" s="29"/>
      <c r="O18" s="79"/>
      <c r="P18" s="79"/>
      <c r="Q18" s="79"/>
      <c r="R18" s="79"/>
      <c r="S18" s="79"/>
      <c r="T18" s="936"/>
      <c r="U18" s="970"/>
      <c r="V18" s="780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2"/>
    </row>
    <row r="19" spans="1:35" s="17" customFormat="1" ht="23.1" customHeight="1">
      <c r="A19" s="903"/>
      <c r="B19" s="970"/>
      <c r="C19" s="935"/>
      <c r="D19" s="229" t="s">
        <v>495</v>
      </c>
      <c r="E19" s="734"/>
      <c r="F19" s="734"/>
      <c r="G19" s="734"/>
      <c r="H19" s="357">
        <f>I19+J19</f>
        <v>12985.61</v>
      </c>
      <c r="I19" s="201">
        <f>5200.69+7784.92</f>
        <v>12985.61</v>
      </c>
      <c r="J19" s="356"/>
      <c r="K19" s="357">
        <f>+L19+M19</f>
        <v>9064.630000000001</v>
      </c>
      <c r="L19" s="845">
        <f>+I46</f>
        <v>9064.630000000001</v>
      </c>
      <c r="M19" s="846">
        <f>+J46</f>
        <v>0</v>
      </c>
      <c r="N19" s="458"/>
      <c r="O19" s="458"/>
      <c r="P19" s="458"/>
      <c r="Q19" s="458"/>
      <c r="R19" s="458"/>
      <c r="S19" s="458"/>
      <c r="T19" s="48"/>
      <c r="V19" s="780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2"/>
    </row>
    <row r="20" spans="1:35" s="17" customFormat="1" ht="9" customHeight="1">
      <c r="A20" s="904"/>
      <c r="B20" s="970"/>
      <c r="C20" s="935"/>
      <c r="P20" s="373"/>
      <c r="Q20" s="373"/>
      <c r="R20" s="373"/>
      <c r="S20" s="373"/>
      <c r="T20" s="48"/>
      <c r="V20" s="780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2"/>
    </row>
    <row r="21" spans="1:35" s="17" customFormat="1" ht="23.1" customHeight="1">
      <c r="A21" s="903"/>
      <c r="B21" s="970"/>
      <c r="C21" s="935"/>
      <c r="D21" s="376"/>
      <c r="E21" s="956"/>
      <c r="F21" s="1071"/>
      <c r="G21" s="1072"/>
      <c r="H21" s="1073">
        <f>I21+J21</f>
        <v>0</v>
      </c>
      <c r="I21" s="1035"/>
      <c r="J21" s="1074"/>
      <c r="K21" s="1075">
        <f>L21+M21</f>
        <v>0</v>
      </c>
      <c r="L21" s="1072"/>
      <c r="M21" s="1076"/>
      <c r="N21" s="1072"/>
      <c r="O21" s="1072"/>
      <c r="P21" s="847"/>
      <c r="Q21" s="847"/>
      <c r="R21" s="1077"/>
      <c r="S21" s="906"/>
      <c r="T21" s="48"/>
      <c r="V21" s="814" t="str">
        <f t="shared" ref="V21:V42" si="0">IF(AND((H21=N21),(K21=O21)),"","Explicar diferencia entre la aportación s/criterio Entidad y s/criterio Cabildo o AAPP")</f>
        <v/>
      </c>
      <c r="W21" s="781"/>
      <c r="X21" s="781"/>
      <c r="Y21" s="781"/>
      <c r="Z21" s="808"/>
      <c r="AA21" s="781"/>
      <c r="AB21" s="781"/>
      <c r="AC21" s="781"/>
      <c r="AD21" s="781"/>
      <c r="AE21" s="781"/>
      <c r="AF21" s="781"/>
      <c r="AG21" s="781"/>
      <c r="AH21" s="781"/>
      <c r="AI21" s="782"/>
    </row>
    <row r="22" spans="1:35" s="17" customFormat="1" ht="23.1" customHeight="1">
      <c r="A22" s="903"/>
      <c r="C22" s="47"/>
      <c r="D22" s="633"/>
      <c r="E22" s="634"/>
      <c r="F22" s="1071"/>
      <c r="G22" s="1050"/>
      <c r="H22" s="1078">
        <f>I22+J22</f>
        <v>0</v>
      </c>
      <c r="I22" s="1048"/>
      <c r="J22" s="1079"/>
      <c r="K22" s="1080">
        <f>L22+M22</f>
        <v>0</v>
      </c>
      <c r="L22" s="1050"/>
      <c r="M22" s="1081"/>
      <c r="N22" s="1050"/>
      <c r="O22" s="1050"/>
      <c r="P22" s="848"/>
      <c r="Q22" s="848"/>
      <c r="R22" s="1082"/>
      <c r="S22" s="907"/>
      <c r="T22" s="48"/>
      <c r="V22" s="814" t="str">
        <f t="shared" si="0"/>
        <v/>
      </c>
      <c r="W22" s="781"/>
      <c r="X22" s="781"/>
      <c r="Y22" s="781"/>
      <c r="Z22" s="808"/>
      <c r="AA22" s="781"/>
      <c r="AB22" s="781"/>
      <c r="AC22" s="781"/>
      <c r="AD22" s="781"/>
      <c r="AE22" s="781"/>
      <c r="AF22" s="781"/>
      <c r="AG22" s="781"/>
      <c r="AH22" s="781"/>
      <c r="AI22" s="782"/>
    </row>
    <row r="23" spans="1:35" s="17" customFormat="1" ht="23.1" customHeight="1">
      <c r="A23" s="903"/>
      <c r="C23" s="47"/>
      <c r="D23" s="633"/>
      <c r="E23" s="634"/>
      <c r="F23" s="1071"/>
      <c r="G23" s="1050"/>
      <c r="H23" s="1078">
        <f t="shared" ref="H23:H35" si="1">I23+J23</f>
        <v>0</v>
      </c>
      <c r="I23" s="1048"/>
      <c r="J23" s="1079"/>
      <c r="K23" s="1080">
        <f t="shared" ref="K23:K35" si="2">L23+M23</f>
        <v>0</v>
      </c>
      <c r="L23" s="1050"/>
      <c r="M23" s="1081"/>
      <c r="N23" s="1050"/>
      <c r="O23" s="1050"/>
      <c r="P23" s="848"/>
      <c r="Q23" s="848"/>
      <c r="R23" s="1082"/>
      <c r="S23" s="907"/>
      <c r="T23" s="48"/>
      <c r="V23" s="814" t="str">
        <f t="shared" si="0"/>
        <v/>
      </c>
      <c r="W23" s="781"/>
      <c r="X23" s="781"/>
      <c r="Y23" s="781"/>
      <c r="Z23" s="808"/>
      <c r="AA23" s="781"/>
      <c r="AB23" s="781"/>
      <c r="AC23" s="781"/>
      <c r="AD23" s="781"/>
      <c r="AE23" s="781"/>
      <c r="AF23" s="781"/>
      <c r="AG23" s="781"/>
      <c r="AH23" s="781"/>
      <c r="AI23" s="782"/>
    </row>
    <row r="24" spans="1:35" s="17" customFormat="1" ht="23.1" customHeight="1">
      <c r="A24" s="903"/>
      <c r="C24" s="47"/>
      <c r="D24" s="633"/>
      <c r="E24" s="634"/>
      <c r="F24" s="1071"/>
      <c r="G24" s="1050"/>
      <c r="H24" s="1078">
        <f t="shared" si="1"/>
        <v>0</v>
      </c>
      <c r="I24" s="1048"/>
      <c r="J24" s="1079"/>
      <c r="K24" s="1080">
        <f t="shared" si="2"/>
        <v>0</v>
      </c>
      <c r="L24" s="1050"/>
      <c r="M24" s="1081"/>
      <c r="N24" s="1050"/>
      <c r="O24" s="1050"/>
      <c r="P24" s="848"/>
      <c r="Q24" s="848"/>
      <c r="R24" s="1082"/>
      <c r="S24" s="907"/>
      <c r="T24" s="48"/>
      <c r="V24" s="814" t="str">
        <f t="shared" si="0"/>
        <v/>
      </c>
      <c r="W24" s="781"/>
      <c r="X24" s="781"/>
      <c r="Y24" s="781"/>
      <c r="Z24" s="808"/>
      <c r="AA24" s="781"/>
      <c r="AB24" s="781"/>
      <c r="AC24" s="781"/>
      <c r="AD24" s="781"/>
      <c r="AE24" s="781"/>
      <c r="AF24" s="781"/>
      <c r="AG24" s="781"/>
      <c r="AH24" s="781"/>
      <c r="AI24" s="782"/>
    </row>
    <row r="25" spans="1:35" s="17" customFormat="1" ht="23.1" customHeight="1">
      <c r="A25" s="903"/>
      <c r="C25" s="47"/>
      <c r="D25" s="633"/>
      <c r="E25" s="634"/>
      <c r="F25" s="1071"/>
      <c r="G25" s="1050"/>
      <c r="H25" s="1078">
        <f t="shared" si="1"/>
        <v>0</v>
      </c>
      <c r="I25" s="1048"/>
      <c r="J25" s="1079"/>
      <c r="K25" s="1080">
        <f t="shared" si="2"/>
        <v>0</v>
      </c>
      <c r="L25" s="1050"/>
      <c r="M25" s="1081"/>
      <c r="N25" s="1050"/>
      <c r="O25" s="1050"/>
      <c r="P25" s="848"/>
      <c r="Q25" s="848"/>
      <c r="R25" s="1082"/>
      <c r="S25" s="907"/>
      <c r="T25" s="48"/>
      <c r="V25" s="814" t="str">
        <f t="shared" si="0"/>
        <v/>
      </c>
      <c r="W25" s="781"/>
      <c r="X25" s="781"/>
      <c r="Y25" s="781"/>
      <c r="Z25" s="808"/>
      <c r="AA25" s="781"/>
      <c r="AB25" s="781"/>
      <c r="AC25" s="781"/>
      <c r="AD25" s="781"/>
      <c r="AE25" s="781"/>
      <c r="AF25" s="781"/>
      <c r="AG25" s="781"/>
      <c r="AH25" s="781"/>
      <c r="AI25" s="782"/>
    </row>
    <row r="26" spans="1:35" s="17" customFormat="1" ht="23.1" customHeight="1">
      <c r="A26" s="903"/>
      <c r="C26" s="47"/>
      <c r="D26" s="633"/>
      <c r="E26" s="634"/>
      <c r="F26" s="1071"/>
      <c r="G26" s="1050"/>
      <c r="H26" s="1078">
        <f t="shared" si="1"/>
        <v>0</v>
      </c>
      <c r="I26" s="1048"/>
      <c r="J26" s="1079"/>
      <c r="K26" s="1080">
        <f t="shared" si="2"/>
        <v>0</v>
      </c>
      <c r="L26" s="1050"/>
      <c r="M26" s="1081"/>
      <c r="N26" s="1050"/>
      <c r="O26" s="1050"/>
      <c r="P26" s="848"/>
      <c r="Q26" s="848"/>
      <c r="R26" s="1082"/>
      <c r="S26" s="907"/>
      <c r="T26" s="48"/>
      <c r="V26" s="814" t="str">
        <f t="shared" si="0"/>
        <v/>
      </c>
      <c r="W26" s="781"/>
      <c r="X26" s="781"/>
      <c r="Y26" s="781"/>
      <c r="Z26" s="808"/>
      <c r="AA26" s="781"/>
      <c r="AB26" s="781"/>
      <c r="AC26" s="781"/>
      <c r="AD26" s="781"/>
      <c r="AE26" s="781"/>
      <c r="AF26" s="781"/>
      <c r="AG26" s="781"/>
      <c r="AH26" s="781"/>
      <c r="AI26" s="782"/>
    </row>
    <row r="27" spans="1:35" s="17" customFormat="1" ht="23.1" customHeight="1">
      <c r="A27" s="903"/>
      <c r="C27" s="47"/>
      <c r="D27" s="633"/>
      <c r="E27" s="634"/>
      <c r="F27" s="1071"/>
      <c r="G27" s="1050"/>
      <c r="H27" s="1078">
        <f t="shared" si="1"/>
        <v>0</v>
      </c>
      <c r="I27" s="1048"/>
      <c r="J27" s="1079"/>
      <c r="K27" s="1080">
        <f t="shared" si="2"/>
        <v>0</v>
      </c>
      <c r="L27" s="1050"/>
      <c r="M27" s="1081"/>
      <c r="N27" s="1050"/>
      <c r="O27" s="1050"/>
      <c r="P27" s="848"/>
      <c r="Q27" s="848"/>
      <c r="R27" s="1082"/>
      <c r="S27" s="907"/>
      <c r="T27" s="48"/>
      <c r="V27" s="814" t="str">
        <f t="shared" si="0"/>
        <v/>
      </c>
      <c r="W27" s="781"/>
      <c r="X27" s="781"/>
      <c r="Y27" s="781"/>
      <c r="Z27" s="808"/>
      <c r="AA27" s="781"/>
      <c r="AB27" s="781"/>
      <c r="AC27" s="781"/>
      <c r="AD27" s="781"/>
      <c r="AE27" s="781"/>
      <c r="AF27" s="781"/>
      <c r="AG27" s="781"/>
      <c r="AH27" s="781"/>
      <c r="AI27" s="782"/>
    </row>
    <row r="28" spans="1:35" s="17" customFormat="1" ht="23.1" customHeight="1">
      <c r="A28" s="903"/>
      <c r="C28" s="47"/>
      <c r="D28" s="633"/>
      <c r="E28" s="634"/>
      <c r="F28" s="1071"/>
      <c r="G28" s="1050"/>
      <c r="H28" s="1078">
        <f t="shared" si="1"/>
        <v>0</v>
      </c>
      <c r="I28" s="1048"/>
      <c r="J28" s="1079"/>
      <c r="K28" s="1080">
        <f t="shared" si="2"/>
        <v>0</v>
      </c>
      <c r="L28" s="1050"/>
      <c r="M28" s="1081"/>
      <c r="N28" s="1050"/>
      <c r="O28" s="1050"/>
      <c r="P28" s="848"/>
      <c r="Q28" s="848"/>
      <c r="R28" s="1082"/>
      <c r="S28" s="907"/>
      <c r="T28" s="48"/>
      <c r="V28" s="814" t="str">
        <f t="shared" si="0"/>
        <v/>
      </c>
      <c r="W28" s="781"/>
      <c r="X28" s="781"/>
      <c r="Y28" s="781"/>
      <c r="Z28" s="808"/>
      <c r="AA28" s="781"/>
      <c r="AB28" s="781"/>
      <c r="AC28" s="781"/>
      <c r="AD28" s="781"/>
      <c r="AE28" s="781"/>
      <c r="AF28" s="781"/>
      <c r="AG28" s="781"/>
      <c r="AH28" s="781"/>
      <c r="AI28" s="782"/>
    </row>
    <row r="29" spans="1:35" s="17" customFormat="1" ht="23.1" customHeight="1">
      <c r="A29" s="903"/>
      <c r="C29" s="47"/>
      <c r="D29" s="633"/>
      <c r="E29" s="634"/>
      <c r="F29" s="1071"/>
      <c r="G29" s="1050"/>
      <c r="H29" s="1078">
        <f t="shared" si="1"/>
        <v>0</v>
      </c>
      <c r="I29" s="1048"/>
      <c r="J29" s="1079"/>
      <c r="K29" s="1080">
        <f t="shared" si="2"/>
        <v>0</v>
      </c>
      <c r="L29" s="1050"/>
      <c r="M29" s="1081"/>
      <c r="N29" s="1050"/>
      <c r="O29" s="1050"/>
      <c r="P29" s="848"/>
      <c r="Q29" s="848"/>
      <c r="R29" s="1082"/>
      <c r="S29" s="907"/>
      <c r="T29" s="48"/>
      <c r="V29" s="814" t="str">
        <f t="shared" si="0"/>
        <v/>
      </c>
      <c r="W29" s="781"/>
      <c r="X29" s="781"/>
      <c r="Y29" s="781"/>
      <c r="Z29" s="808"/>
      <c r="AA29" s="781"/>
      <c r="AB29" s="781"/>
      <c r="AC29" s="781"/>
      <c r="AD29" s="781"/>
      <c r="AE29" s="781"/>
      <c r="AF29" s="781"/>
      <c r="AG29" s="781"/>
      <c r="AH29" s="781"/>
      <c r="AI29" s="782"/>
    </row>
    <row r="30" spans="1:35" s="17" customFormat="1" ht="23.1" customHeight="1">
      <c r="A30" s="903"/>
      <c r="C30" s="47"/>
      <c r="D30" s="633"/>
      <c r="E30" s="634"/>
      <c r="F30" s="1071"/>
      <c r="G30" s="1050"/>
      <c r="H30" s="1078">
        <f t="shared" si="1"/>
        <v>0</v>
      </c>
      <c r="I30" s="1048"/>
      <c r="J30" s="1079"/>
      <c r="K30" s="1080">
        <f t="shared" si="2"/>
        <v>0</v>
      </c>
      <c r="L30" s="1050"/>
      <c r="M30" s="1081"/>
      <c r="N30" s="1050"/>
      <c r="O30" s="1050"/>
      <c r="P30" s="848"/>
      <c r="Q30" s="848"/>
      <c r="R30" s="1082"/>
      <c r="S30" s="907"/>
      <c r="T30" s="48"/>
      <c r="V30" s="814" t="str">
        <f t="shared" si="0"/>
        <v/>
      </c>
      <c r="W30" s="781"/>
      <c r="X30" s="781"/>
      <c r="Y30" s="781"/>
      <c r="Z30" s="808"/>
      <c r="AA30" s="781"/>
      <c r="AB30" s="781"/>
      <c r="AC30" s="781"/>
      <c r="AD30" s="781"/>
      <c r="AE30" s="781"/>
      <c r="AF30" s="781"/>
      <c r="AG30" s="781"/>
      <c r="AH30" s="781"/>
      <c r="AI30" s="782"/>
    </row>
    <row r="31" spans="1:35" s="17" customFormat="1" ht="23.1" customHeight="1">
      <c r="A31" s="903"/>
      <c r="C31" s="47"/>
      <c r="D31" s="633"/>
      <c r="E31" s="634"/>
      <c r="F31" s="1071"/>
      <c r="G31" s="1050"/>
      <c r="H31" s="1078">
        <f t="shared" si="1"/>
        <v>0</v>
      </c>
      <c r="I31" s="1048"/>
      <c r="J31" s="1079"/>
      <c r="K31" s="1080">
        <f t="shared" si="2"/>
        <v>0</v>
      </c>
      <c r="L31" s="1050"/>
      <c r="M31" s="1081"/>
      <c r="N31" s="1050"/>
      <c r="O31" s="1050"/>
      <c r="P31" s="848"/>
      <c r="Q31" s="848"/>
      <c r="R31" s="1082"/>
      <c r="S31" s="907"/>
      <c r="T31" s="48"/>
      <c r="V31" s="814" t="str">
        <f t="shared" si="0"/>
        <v/>
      </c>
      <c r="W31" s="781"/>
      <c r="X31" s="781"/>
      <c r="Y31" s="781"/>
      <c r="Z31" s="808"/>
      <c r="AA31" s="781"/>
      <c r="AB31" s="781"/>
      <c r="AC31" s="781"/>
      <c r="AD31" s="781"/>
      <c r="AE31" s="781"/>
      <c r="AF31" s="781"/>
      <c r="AG31" s="781"/>
      <c r="AH31" s="781"/>
      <c r="AI31" s="782"/>
    </row>
    <row r="32" spans="1:35" s="17" customFormat="1" ht="23.1" customHeight="1">
      <c r="A32" s="903"/>
      <c r="C32" s="47"/>
      <c r="D32" s="633"/>
      <c r="E32" s="634"/>
      <c r="F32" s="1071"/>
      <c r="G32" s="1050"/>
      <c r="H32" s="1078">
        <f t="shared" si="1"/>
        <v>0</v>
      </c>
      <c r="I32" s="1048"/>
      <c r="J32" s="1079"/>
      <c r="K32" s="1080">
        <f t="shared" si="2"/>
        <v>0</v>
      </c>
      <c r="L32" s="1050"/>
      <c r="M32" s="1081"/>
      <c r="N32" s="1050"/>
      <c r="O32" s="1050"/>
      <c r="P32" s="848"/>
      <c r="Q32" s="848"/>
      <c r="R32" s="1082"/>
      <c r="S32" s="907"/>
      <c r="T32" s="48"/>
      <c r="V32" s="814" t="str">
        <f t="shared" si="0"/>
        <v/>
      </c>
      <c r="W32" s="781"/>
      <c r="X32" s="781"/>
      <c r="Y32" s="781"/>
      <c r="Z32" s="808"/>
      <c r="AA32" s="781"/>
      <c r="AB32" s="781"/>
      <c r="AC32" s="781"/>
      <c r="AD32" s="781"/>
      <c r="AE32" s="781"/>
      <c r="AF32" s="781"/>
      <c r="AG32" s="781"/>
      <c r="AH32" s="781"/>
      <c r="AI32" s="782"/>
    </row>
    <row r="33" spans="1:35" s="17" customFormat="1" ht="23.1" customHeight="1">
      <c r="A33" s="903"/>
      <c r="C33" s="47"/>
      <c r="D33" s="633"/>
      <c r="E33" s="634"/>
      <c r="F33" s="1071"/>
      <c r="G33" s="1050"/>
      <c r="H33" s="1078">
        <f t="shared" si="1"/>
        <v>0</v>
      </c>
      <c r="I33" s="1048"/>
      <c r="J33" s="1079"/>
      <c r="K33" s="1080">
        <f t="shared" si="2"/>
        <v>0</v>
      </c>
      <c r="L33" s="1050"/>
      <c r="M33" s="1081"/>
      <c r="N33" s="1050"/>
      <c r="O33" s="1050"/>
      <c r="P33" s="848"/>
      <c r="Q33" s="848"/>
      <c r="R33" s="1082"/>
      <c r="S33" s="907"/>
      <c r="T33" s="48"/>
      <c r="V33" s="814" t="str">
        <f t="shared" si="0"/>
        <v/>
      </c>
      <c r="W33" s="781"/>
      <c r="X33" s="781"/>
      <c r="Y33" s="781"/>
      <c r="Z33" s="808"/>
      <c r="AA33" s="781"/>
      <c r="AB33" s="781"/>
      <c r="AC33" s="781"/>
      <c r="AD33" s="781"/>
      <c r="AE33" s="781"/>
      <c r="AF33" s="781"/>
      <c r="AG33" s="781"/>
      <c r="AH33" s="781"/>
      <c r="AI33" s="782"/>
    </row>
    <row r="34" spans="1:35" s="17" customFormat="1" ht="23.1" customHeight="1">
      <c r="A34" s="903"/>
      <c r="C34" s="47"/>
      <c r="D34" s="633"/>
      <c r="E34" s="634"/>
      <c r="F34" s="1071"/>
      <c r="G34" s="1050"/>
      <c r="H34" s="1078">
        <f t="shared" si="1"/>
        <v>0</v>
      </c>
      <c r="I34" s="1048"/>
      <c r="J34" s="1079"/>
      <c r="K34" s="1080">
        <f t="shared" si="2"/>
        <v>0</v>
      </c>
      <c r="L34" s="1050"/>
      <c r="M34" s="1081"/>
      <c r="N34" s="1050"/>
      <c r="O34" s="1050"/>
      <c r="P34" s="848"/>
      <c r="Q34" s="848"/>
      <c r="R34" s="1082"/>
      <c r="S34" s="907"/>
      <c r="T34" s="48"/>
      <c r="V34" s="814" t="str">
        <f t="shared" si="0"/>
        <v/>
      </c>
      <c r="W34" s="781"/>
      <c r="X34" s="781"/>
      <c r="Y34" s="781"/>
      <c r="Z34" s="808"/>
      <c r="AA34" s="781"/>
      <c r="AB34" s="781"/>
      <c r="AC34" s="781"/>
      <c r="AD34" s="781"/>
      <c r="AE34" s="781"/>
      <c r="AF34" s="781"/>
      <c r="AG34" s="781"/>
      <c r="AH34" s="781"/>
      <c r="AI34" s="782"/>
    </row>
    <row r="35" spans="1:35" s="17" customFormat="1" ht="23.1" customHeight="1">
      <c r="A35" s="903"/>
      <c r="C35" s="47"/>
      <c r="D35" s="633"/>
      <c r="E35" s="634"/>
      <c r="F35" s="1071"/>
      <c r="G35" s="1050"/>
      <c r="H35" s="1078">
        <f t="shared" si="1"/>
        <v>0</v>
      </c>
      <c r="I35" s="1048"/>
      <c r="J35" s="1079"/>
      <c r="K35" s="1080">
        <f t="shared" si="2"/>
        <v>0</v>
      </c>
      <c r="L35" s="1050"/>
      <c r="M35" s="1081"/>
      <c r="N35" s="1050"/>
      <c r="O35" s="1050"/>
      <c r="P35" s="848"/>
      <c r="Q35" s="848"/>
      <c r="R35" s="1082"/>
      <c r="S35" s="907"/>
      <c r="T35" s="48"/>
      <c r="V35" s="814" t="str">
        <f t="shared" si="0"/>
        <v/>
      </c>
      <c r="W35" s="781"/>
      <c r="X35" s="781"/>
      <c r="Y35" s="781"/>
      <c r="Z35" s="808"/>
      <c r="AA35" s="781"/>
      <c r="AB35" s="781"/>
      <c r="AC35" s="781"/>
      <c r="AD35" s="781"/>
      <c r="AE35" s="781"/>
      <c r="AF35" s="781"/>
      <c r="AG35" s="781"/>
      <c r="AH35" s="781"/>
      <c r="AI35" s="782"/>
    </row>
    <row r="36" spans="1:35" s="17" customFormat="1" ht="23.1" customHeight="1">
      <c r="A36" s="903"/>
      <c r="C36" s="47"/>
      <c r="D36" s="633"/>
      <c r="E36" s="634"/>
      <c r="F36" s="1071"/>
      <c r="G36" s="1050"/>
      <c r="H36" s="1078">
        <f t="shared" ref="H36:H41" si="3">I36+J36</f>
        <v>0</v>
      </c>
      <c r="I36" s="1048"/>
      <c r="J36" s="1079"/>
      <c r="K36" s="1080">
        <f t="shared" ref="K36:K41" si="4">L36+M36</f>
        <v>0</v>
      </c>
      <c r="L36" s="1050"/>
      <c r="M36" s="1081"/>
      <c r="N36" s="1050"/>
      <c r="O36" s="1050"/>
      <c r="P36" s="848"/>
      <c r="Q36" s="848"/>
      <c r="R36" s="1082"/>
      <c r="S36" s="907"/>
      <c r="T36" s="48"/>
      <c r="V36" s="814" t="str">
        <f t="shared" si="0"/>
        <v/>
      </c>
      <c r="W36" s="781"/>
      <c r="X36" s="781"/>
      <c r="Y36" s="781"/>
      <c r="Z36" s="808"/>
      <c r="AA36" s="781"/>
      <c r="AB36" s="781"/>
      <c r="AC36" s="781"/>
      <c r="AD36" s="781"/>
      <c r="AE36" s="781"/>
      <c r="AF36" s="781"/>
      <c r="AG36" s="781"/>
      <c r="AH36" s="781"/>
      <c r="AI36" s="782"/>
    </row>
    <row r="37" spans="1:35" ht="23.1" customHeight="1">
      <c r="A37" s="903"/>
      <c r="C37" s="47"/>
      <c r="D37" s="633"/>
      <c r="E37" s="634"/>
      <c r="F37" s="1071"/>
      <c r="G37" s="1050"/>
      <c r="H37" s="1078">
        <f t="shared" si="3"/>
        <v>0</v>
      </c>
      <c r="I37" s="1038"/>
      <c r="J37" s="1083"/>
      <c r="K37" s="1080">
        <f t="shared" si="4"/>
        <v>0</v>
      </c>
      <c r="L37" s="1054"/>
      <c r="M37" s="1084"/>
      <c r="N37" s="1054"/>
      <c r="O37" s="1054"/>
      <c r="P37" s="849"/>
      <c r="Q37" s="849"/>
      <c r="R37" s="1085"/>
      <c r="S37" s="907"/>
      <c r="T37" s="39"/>
      <c r="V37" s="814" t="str">
        <f t="shared" si="0"/>
        <v/>
      </c>
      <c r="W37" s="781"/>
      <c r="X37" s="781"/>
      <c r="Y37" s="781"/>
      <c r="Z37" s="808"/>
      <c r="AA37" s="781"/>
      <c r="AB37" s="781"/>
      <c r="AC37" s="781"/>
      <c r="AD37" s="781"/>
      <c r="AE37" s="781"/>
      <c r="AF37" s="781"/>
      <c r="AG37" s="781"/>
      <c r="AH37" s="781"/>
      <c r="AI37" s="782"/>
    </row>
    <row r="38" spans="1:35" ht="23.1" customHeight="1">
      <c r="A38" s="903"/>
      <c r="C38" s="47"/>
      <c r="D38" s="633"/>
      <c r="E38" s="634"/>
      <c r="F38" s="1071"/>
      <c r="G38" s="1050"/>
      <c r="H38" s="1078">
        <f t="shared" si="3"/>
        <v>0</v>
      </c>
      <c r="I38" s="1038"/>
      <c r="J38" s="1083"/>
      <c r="K38" s="1080">
        <f t="shared" si="4"/>
        <v>0</v>
      </c>
      <c r="L38" s="1054"/>
      <c r="M38" s="1084"/>
      <c r="N38" s="1054"/>
      <c r="O38" s="1054"/>
      <c r="P38" s="849"/>
      <c r="Q38" s="849"/>
      <c r="R38" s="1085"/>
      <c r="S38" s="907"/>
      <c r="T38" s="39"/>
      <c r="V38" s="814" t="str">
        <f t="shared" si="0"/>
        <v/>
      </c>
      <c r="W38" s="781"/>
      <c r="X38" s="781"/>
      <c r="Y38" s="781"/>
      <c r="Z38" s="808"/>
      <c r="AA38" s="781"/>
      <c r="AB38" s="781"/>
      <c r="AC38" s="781"/>
      <c r="AD38" s="781"/>
      <c r="AE38" s="781"/>
      <c r="AF38" s="781"/>
      <c r="AG38" s="781"/>
      <c r="AH38" s="781"/>
      <c r="AI38" s="782"/>
    </row>
    <row r="39" spans="1:35" ht="23.1" customHeight="1">
      <c r="A39" s="903"/>
      <c r="C39" s="47"/>
      <c r="D39" s="633"/>
      <c r="E39" s="634"/>
      <c r="F39" s="1071"/>
      <c r="G39" s="1050"/>
      <c r="H39" s="1078">
        <f t="shared" si="3"/>
        <v>0</v>
      </c>
      <c r="I39" s="1038"/>
      <c r="J39" s="1083"/>
      <c r="K39" s="1080">
        <f t="shared" si="4"/>
        <v>0</v>
      </c>
      <c r="L39" s="1054"/>
      <c r="M39" s="1084"/>
      <c r="N39" s="1054"/>
      <c r="O39" s="1054"/>
      <c r="P39" s="849"/>
      <c r="Q39" s="849"/>
      <c r="R39" s="1085"/>
      <c r="S39" s="907"/>
      <c r="T39" s="39"/>
      <c r="V39" s="814" t="str">
        <f t="shared" si="0"/>
        <v/>
      </c>
      <c r="W39" s="781"/>
      <c r="X39" s="781"/>
      <c r="Y39" s="781"/>
      <c r="Z39" s="808"/>
      <c r="AA39" s="781"/>
      <c r="AB39" s="781"/>
      <c r="AC39" s="781"/>
      <c r="AD39" s="781"/>
      <c r="AE39" s="781"/>
      <c r="AF39" s="781"/>
      <c r="AG39" s="781"/>
      <c r="AH39" s="781"/>
      <c r="AI39" s="782"/>
    </row>
    <row r="40" spans="1:35" ht="23.1" customHeight="1">
      <c r="A40" s="903"/>
      <c r="C40" s="47"/>
      <c r="D40" s="633"/>
      <c r="E40" s="634"/>
      <c r="F40" s="1071"/>
      <c r="G40" s="1050"/>
      <c r="H40" s="1078">
        <f t="shared" si="3"/>
        <v>0</v>
      </c>
      <c r="I40" s="1056"/>
      <c r="J40" s="1086"/>
      <c r="K40" s="1080">
        <f t="shared" si="4"/>
        <v>0</v>
      </c>
      <c r="L40" s="1058"/>
      <c r="M40" s="1087"/>
      <c r="N40" s="1058"/>
      <c r="O40" s="1058"/>
      <c r="P40" s="850"/>
      <c r="Q40" s="850"/>
      <c r="R40" s="1088"/>
      <c r="S40" s="907"/>
      <c r="T40" s="39"/>
      <c r="V40" s="814" t="str">
        <f t="shared" si="0"/>
        <v/>
      </c>
      <c r="W40" s="781"/>
      <c r="X40" s="781"/>
      <c r="Y40" s="781"/>
      <c r="Z40" s="808"/>
      <c r="AA40" s="781"/>
      <c r="AB40" s="781"/>
      <c r="AC40" s="781"/>
      <c r="AD40" s="781"/>
      <c r="AE40" s="781"/>
      <c r="AF40" s="781"/>
      <c r="AG40" s="781"/>
      <c r="AH40" s="781"/>
      <c r="AI40" s="782"/>
    </row>
    <row r="41" spans="1:35" ht="23.1" customHeight="1">
      <c r="A41" s="903"/>
      <c r="C41" s="47"/>
      <c r="D41" s="633"/>
      <c r="E41" s="634"/>
      <c r="F41" s="1071"/>
      <c r="G41" s="1050"/>
      <c r="H41" s="1078">
        <f t="shared" si="3"/>
        <v>0</v>
      </c>
      <c r="I41" s="1056"/>
      <c r="J41" s="1086"/>
      <c r="K41" s="1080">
        <f t="shared" si="4"/>
        <v>0</v>
      </c>
      <c r="L41" s="1058"/>
      <c r="M41" s="1087"/>
      <c r="N41" s="1058"/>
      <c r="O41" s="1058"/>
      <c r="P41" s="1058"/>
      <c r="Q41" s="1058"/>
      <c r="R41" s="1058"/>
      <c r="S41" s="907"/>
      <c r="T41" s="39"/>
      <c r="V41" s="814" t="str">
        <f t="shared" si="0"/>
        <v/>
      </c>
      <c r="W41" s="781"/>
      <c r="X41" s="781"/>
      <c r="Y41" s="781"/>
      <c r="Z41" s="808"/>
      <c r="AA41" s="781"/>
      <c r="AB41" s="781"/>
      <c r="AC41" s="781"/>
      <c r="AD41" s="781"/>
      <c r="AE41" s="781"/>
      <c r="AF41" s="781"/>
      <c r="AG41" s="781"/>
      <c r="AH41" s="781"/>
      <c r="AI41" s="782"/>
    </row>
    <row r="42" spans="1:35" ht="23.1" customHeight="1" thickBot="1">
      <c r="A42" s="903"/>
      <c r="C42" s="47"/>
      <c r="D42" s="636"/>
      <c r="E42" s="637"/>
      <c r="F42" s="1071"/>
      <c r="G42" s="1050"/>
      <c r="H42" s="1089">
        <f>I42+J42</f>
        <v>0</v>
      </c>
      <c r="I42" s="1040"/>
      <c r="J42" s="1090"/>
      <c r="K42" s="1091">
        <f>L42+M42</f>
        <v>0</v>
      </c>
      <c r="L42" s="1063"/>
      <c r="M42" s="1092"/>
      <c r="N42" s="1063"/>
      <c r="O42" s="1063"/>
      <c r="P42" s="852"/>
      <c r="Q42" s="852"/>
      <c r="R42" s="853"/>
      <c r="S42" s="908"/>
      <c r="T42" s="39"/>
      <c r="V42" s="814" t="str">
        <f t="shared" si="0"/>
        <v/>
      </c>
      <c r="W42" s="781"/>
      <c r="X42" s="781"/>
      <c r="Y42" s="781"/>
      <c r="Z42" s="808"/>
      <c r="AA42" s="781"/>
      <c r="AB42" s="781"/>
      <c r="AC42" s="781"/>
      <c r="AD42" s="781"/>
      <c r="AE42" s="781"/>
      <c r="AF42" s="781"/>
      <c r="AG42" s="781"/>
      <c r="AH42" s="781"/>
      <c r="AI42" s="782"/>
    </row>
    <row r="43" spans="1:35" ht="23.1" customHeight="1" thickBot="1">
      <c r="A43" s="903"/>
      <c r="C43" s="47"/>
      <c r="D43" s="1219" t="s">
        <v>546</v>
      </c>
      <c r="E43" s="1220"/>
      <c r="F43" s="1220"/>
      <c r="G43" s="1221"/>
      <c r="H43" s="374">
        <f t="shared" ref="H43:O43" si="5">SUM(H21:H42)</f>
        <v>0</v>
      </c>
      <c r="I43" s="70">
        <f t="shared" si="5"/>
        <v>0</v>
      </c>
      <c r="J43" s="375">
        <f t="shared" si="5"/>
        <v>0</v>
      </c>
      <c r="K43" s="75">
        <f t="shared" si="5"/>
        <v>0</v>
      </c>
      <c r="L43" s="70">
        <f t="shared" si="5"/>
        <v>0</v>
      </c>
      <c r="M43" s="375">
        <f t="shared" si="5"/>
        <v>0</v>
      </c>
      <c r="N43" s="75">
        <f t="shared" si="5"/>
        <v>0</v>
      </c>
      <c r="O43" s="70">
        <f t="shared" si="5"/>
        <v>0</v>
      </c>
      <c r="T43" s="39"/>
      <c r="V43" s="780"/>
      <c r="W43" s="781"/>
      <c r="X43" s="781"/>
      <c r="Y43" s="781"/>
      <c r="Z43" s="781"/>
      <c r="AA43" s="781"/>
      <c r="AB43" s="781"/>
      <c r="AC43" s="781"/>
      <c r="AD43" s="781"/>
      <c r="AE43" s="781"/>
      <c r="AF43" s="781"/>
      <c r="AG43" s="781"/>
      <c r="AH43" s="781"/>
      <c r="AI43" s="782"/>
    </row>
    <row r="44" spans="1:35" ht="8.1" customHeight="1">
      <c r="A44" s="903"/>
      <c r="C44" s="38"/>
      <c r="D44" s="17"/>
      <c r="E44" s="17"/>
      <c r="F44" s="17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  <c r="S44" s="1"/>
      <c r="T44" s="39"/>
      <c r="V44" s="780"/>
      <c r="W44" s="781"/>
      <c r="X44" s="781"/>
      <c r="Y44" s="781"/>
      <c r="Z44" s="781"/>
      <c r="AA44" s="781"/>
      <c r="AB44" s="781"/>
      <c r="AC44" s="781"/>
      <c r="AD44" s="781"/>
      <c r="AE44" s="781"/>
      <c r="AF44" s="781"/>
      <c r="AG44" s="781"/>
      <c r="AH44" s="781"/>
      <c r="AI44" s="782"/>
    </row>
    <row r="45" spans="1:35" ht="23.1" customHeight="1" thickBot="1">
      <c r="A45" s="903"/>
      <c r="C45" s="47"/>
      <c r="D45" s="1222" t="s">
        <v>547</v>
      </c>
      <c r="E45" s="1223"/>
      <c r="F45" s="1223"/>
      <c r="G45" s="1224"/>
      <c r="H45" s="357">
        <f>I45+J45</f>
        <v>-3920.98</v>
      </c>
      <c r="I45" s="1093">
        <v>-3920.98</v>
      </c>
      <c r="J45" s="1094"/>
      <c r="K45" s="357">
        <f>+L45+M45</f>
        <v>-3799.83</v>
      </c>
      <c r="L45" s="1093">
        <v>-3799.83</v>
      </c>
      <c r="M45" s="1094"/>
      <c r="N45" s="458"/>
      <c r="O45" s="458"/>
      <c r="P45" s="59"/>
      <c r="Q45" s="59"/>
      <c r="R45" s="59"/>
      <c r="S45" s="59"/>
      <c r="T45" s="39"/>
      <c r="V45" s="780"/>
      <c r="W45" s="781"/>
      <c r="X45" s="781"/>
      <c r="Y45" s="781"/>
      <c r="Z45" s="781"/>
      <c r="AA45" s="781"/>
      <c r="AB45" s="781"/>
      <c r="AC45" s="781"/>
      <c r="AD45" s="781"/>
      <c r="AE45" s="781"/>
      <c r="AF45" s="781"/>
      <c r="AG45" s="781"/>
      <c r="AH45" s="781"/>
      <c r="AI45" s="782"/>
    </row>
    <row r="46" spans="1:35" ht="23.1" customHeight="1" thickBot="1">
      <c r="A46" s="903"/>
      <c r="C46" s="47"/>
      <c r="D46" s="1219" t="s">
        <v>548</v>
      </c>
      <c r="E46" s="1220"/>
      <c r="F46" s="1220"/>
      <c r="G46" s="1221"/>
      <c r="H46" s="358">
        <f>I46+J46</f>
        <v>9064.630000000001</v>
      </c>
      <c r="I46" s="70">
        <f>+I19+I43+I45</f>
        <v>9064.630000000001</v>
      </c>
      <c r="J46" s="375">
        <f>+J19+J43+J45</f>
        <v>0</v>
      </c>
      <c r="K46" s="359">
        <f>L46+M46</f>
        <v>5264.8000000000011</v>
      </c>
      <c r="L46" s="70">
        <f>L19+L43+SUM(L45:L45)</f>
        <v>5264.8000000000011</v>
      </c>
      <c r="M46" s="375">
        <f>M19+M43+SUM(M45:M45)</f>
        <v>0</v>
      </c>
      <c r="N46" s="99"/>
      <c r="O46" s="99"/>
      <c r="P46" s="59"/>
      <c r="Q46" s="59"/>
      <c r="R46" s="59"/>
      <c r="S46" s="59"/>
      <c r="T46" s="39"/>
      <c r="V46" s="780"/>
      <c r="W46" s="781"/>
      <c r="X46" s="781"/>
      <c r="Y46" s="781"/>
      <c r="Z46" s="781"/>
      <c r="AA46" s="781"/>
      <c r="AB46" s="781"/>
      <c r="AC46" s="781"/>
      <c r="AD46" s="781"/>
      <c r="AE46" s="781"/>
      <c r="AF46" s="781"/>
      <c r="AG46" s="781"/>
      <c r="AH46" s="781"/>
      <c r="AI46" s="782"/>
    </row>
    <row r="47" spans="1:35" ht="23.1" customHeight="1">
      <c r="A47" s="903"/>
      <c r="C47" s="47"/>
      <c r="D47" s="58"/>
      <c r="E47" s="58"/>
      <c r="F47" s="59"/>
      <c r="G47" s="644" t="s">
        <v>549</v>
      </c>
      <c r="H47" s="99">
        <f>SUMIF($F$21:$F$42,"Cabildo Insular de Tenerife",H21:H42)</f>
        <v>0</v>
      </c>
      <c r="I47" s="99"/>
      <c r="J47" s="99"/>
      <c r="K47" s="99">
        <f>SUMIF($F$21:$F$42,"Cabildo Insular de Tenerife",K21:K42)</f>
        <v>0</v>
      </c>
      <c r="L47" s="99"/>
      <c r="M47" s="99"/>
      <c r="N47" s="99">
        <f>SUMIF($F$21:$F$42,"Cabildo Insular de Tenerife",N21:N42)</f>
        <v>0</v>
      </c>
      <c r="O47" s="99">
        <f>SUMIF($F$21:$F$42,"Cabildo Insular de Tenerife",O21:O42)</f>
        <v>0</v>
      </c>
      <c r="P47" s="59"/>
      <c r="Q47" s="59"/>
      <c r="R47" s="59"/>
      <c r="S47" s="59"/>
      <c r="T47" s="39"/>
      <c r="V47" s="780"/>
      <c r="W47" s="781"/>
      <c r="X47" s="781"/>
      <c r="Y47" s="781"/>
      <c r="Z47" s="781"/>
      <c r="AA47" s="781"/>
      <c r="AB47" s="781"/>
      <c r="AC47" s="781"/>
      <c r="AD47" s="781"/>
      <c r="AE47" s="781"/>
      <c r="AF47" s="781"/>
      <c r="AG47" s="781"/>
      <c r="AH47" s="781"/>
      <c r="AI47" s="782"/>
    </row>
    <row r="48" spans="1:35" ht="23.1" customHeight="1">
      <c r="A48" s="903"/>
      <c r="C48" s="47"/>
      <c r="D48" s="58"/>
      <c r="E48" s="58"/>
      <c r="F48" s="59"/>
      <c r="G48" s="644" t="s">
        <v>550</v>
      </c>
      <c r="H48" s="99">
        <f>SUMIF($F$21:$F$42,"Otros - Unidad dependiente del Cabildo",H21:H42)</f>
        <v>0</v>
      </c>
      <c r="I48" s="99"/>
      <c r="J48" s="99"/>
      <c r="K48" s="99">
        <f>SUMIF($F$21:$F$42,"Otros - Unidad dependiente del Cabildo",K21:K42)</f>
        <v>0</v>
      </c>
      <c r="L48" s="99"/>
      <c r="M48" s="99"/>
      <c r="N48" s="99">
        <f>SUMIF($F$21:$F$42,"Otros - Unidad dependiente del Cabildo",N21:N42)</f>
        <v>0</v>
      </c>
      <c r="O48" s="99">
        <f>SUMIF($F$21:$F$42,"Otros - Unidad dependiente del Cabildo",O21:O42)</f>
        <v>0</v>
      </c>
      <c r="P48" s="59"/>
      <c r="Q48" s="59"/>
      <c r="R48" s="59"/>
      <c r="S48" s="59"/>
      <c r="T48" s="39"/>
      <c r="V48" s="780"/>
      <c r="W48" s="781"/>
      <c r="X48" s="781"/>
      <c r="Y48" s="781"/>
      <c r="Z48" s="781"/>
      <c r="AA48" s="781"/>
      <c r="AB48" s="781"/>
      <c r="AC48" s="781"/>
      <c r="AD48" s="781"/>
      <c r="AE48" s="781"/>
      <c r="AF48" s="781"/>
      <c r="AG48" s="781"/>
      <c r="AH48" s="781"/>
      <c r="AI48" s="782"/>
    </row>
    <row r="49" spans="1:35" ht="23.1" customHeight="1">
      <c r="A49" s="903"/>
      <c r="C49" s="47"/>
      <c r="D49" s="58"/>
      <c r="E49" s="58"/>
      <c r="F49" s="59"/>
      <c r="G49" s="644" t="s">
        <v>551</v>
      </c>
      <c r="H49" s="99">
        <f>SUMIF($F$21:$F$42,"Otros - Unión Europea",H21:H42)</f>
        <v>0</v>
      </c>
      <c r="I49" s="99"/>
      <c r="J49" s="99"/>
      <c r="K49" s="99">
        <f>SUMIF($F$21:$F$42,"Otros - Unión Europea",K21:K42)</f>
        <v>0</v>
      </c>
      <c r="L49" s="99"/>
      <c r="M49" s="99"/>
      <c r="N49" s="99">
        <f>SUMIF($F$21:$F$42,"Otros - Unión Europea",N21:N42)</f>
        <v>0</v>
      </c>
      <c r="O49" s="99">
        <f>SUMIF($F$21:$F$42,"Otros - Unión Europea",O21:O42)</f>
        <v>0</v>
      </c>
      <c r="P49" s="59"/>
      <c r="Q49" s="59"/>
      <c r="R49" s="59"/>
      <c r="S49" s="59"/>
      <c r="T49" s="39"/>
      <c r="V49" s="780"/>
      <c r="W49" s="781"/>
      <c r="X49" s="781"/>
      <c r="Y49" s="781"/>
      <c r="Z49" s="781"/>
      <c r="AA49" s="781"/>
      <c r="AB49" s="781"/>
      <c r="AC49" s="781"/>
      <c r="AD49" s="781"/>
      <c r="AE49" s="781"/>
      <c r="AF49" s="781"/>
      <c r="AG49" s="781"/>
      <c r="AH49" s="781"/>
      <c r="AI49" s="782"/>
    </row>
    <row r="50" spans="1:35" ht="23.1" customHeight="1">
      <c r="A50" s="903"/>
      <c r="C50" s="47"/>
      <c r="D50" s="58"/>
      <c r="E50" s="58"/>
      <c r="F50" s="59"/>
      <c r="G50" s="644" t="s">
        <v>552</v>
      </c>
      <c r="H50" s="99">
        <f>SUMIF($F$21:$F$42,"Otros - De otras Administraciones y Entes públicos",H21:H42)</f>
        <v>0</v>
      </c>
      <c r="I50" s="99"/>
      <c r="J50" s="99"/>
      <c r="K50" s="99">
        <f>SUMIF($F$21:$F$42,"Otros - De otras Administraciones y Entes públicos",K21:K42)</f>
        <v>0</v>
      </c>
      <c r="L50" s="99"/>
      <c r="M50" s="99"/>
      <c r="N50" s="99">
        <f>SUMIF($F$21:$F$42,"Otros - De otras Administraciones y Entes públicos",N21:N42)</f>
        <v>0</v>
      </c>
      <c r="O50" s="99">
        <f>SUMIF($F$21:$F$42,"Otros - De otras Administraciones y Entes públicos",O21:O42)</f>
        <v>0</v>
      </c>
      <c r="P50" s="59"/>
      <c r="Q50" s="59"/>
      <c r="R50" s="59"/>
      <c r="S50" s="59"/>
      <c r="T50" s="39"/>
      <c r="V50" s="780"/>
      <c r="W50" s="781"/>
      <c r="X50" s="781"/>
      <c r="Y50" s="781"/>
      <c r="Z50" s="781"/>
      <c r="AA50" s="781"/>
      <c r="AB50" s="781"/>
      <c r="AC50" s="781"/>
      <c r="AD50" s="781"/>
      <c r="AE50" s="781"/>
      <c r="AF50" s="781"/>
      <c r="AG50" s="781"/>
      <c r="AH50" s="781"/>
      <c r="AI50" s="782"/>
    </row>
    <row r="51" spans="1:35" ht="23.1" customHeight="1">
      <c r="A51" s="903"/>
      <c r="C51" s="47"/>
      <c r="D51" s="58"/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39"/>
      <c r="V51" s="780"/>
      <c r="W51" s="781"/>
      <c r="X51" s="781"/>
      <c r="Y51" s="781"/>
      <c r="Z51" s="781"/>
      <c r="AA51" s="781"/>
      <c r="AB51" s="781"/>
      <c r="AC51" s="781"/>
      <c r="AD51" s="781"/>
      <c r="AE51" s="781"/>
      <c r="AF51" s="781"/>
      <c r="AG51" s="781"/>
      <c r="AH51" s="781"/>
      <c r="AI51" s="782"/>
    </row>
    <row r="52" spans="1:35" ht="23.1" customHeight="1">
      <c r="A52" s="903"/>
      <c r="C52" s="47"/>
      <c r="D52" s="8" t="s">
        <v>553</v>
      </c>
      <c r="E52" s="5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39"/>
      <c r="V52" s="780"/>
      <c r="W52" s="781"/>
      <c r="X52" s="1203" t="s">
        <v>533</v>
      </c>
      <c r="Y52" s="1203"/>
      <c r="Z52" s="781"/>
      <c r="AA52" s="781"/>
      <c r="AB52" s="781"/>
      <c r="AC52" s="781"/>
      <c r="AD52" s="781"/>
      <c r="AE52" s="781"/>
      <c r="AF52" s="781"/>
      <c r="AG52" s="781"/>
      <c r="AH52" s="781"/>
      <c r="AI52" s="782"/>
    </row>
    <row r="53" spans="1:35" ht="36" customHeight="1">
      <c r="A53" s="903"/>
      <c r="C53" s="47"/>
      <c r="D53" s="1204" t="s">
        <v>534</v>
      </c>
      <c r="E53" s="1205"/>
      <c r="F53" s="1201" t="s">
        <v>530</v>
      </c>
      <c r="G53" s="1202"/>
      <c r="H53" s="1201" t="s">
        <v>554</v>
      </c>
      <c r="I53" s="1202"/>
      <c r="J53" s="1201" t="s">
        <v>555</v>
      </c>
      <c r="K53" s="1202"/>
      <c r="L53" s="329"/>
      <c r="M53" s="329"/>
      <c r="N53" s="329"/>
      <c r="O53" s="328" t="s">
        <v>538</v>
      </c>
      <c r="P53" s="59"/>
      <c r="Q53" s="59"/>
      <c r="R53" s="59"/>
      <c r="S53" s="59"/>
      <c r="T53" s="39"/>
      <c r="V53" s="780"/>
      <c r="W53" s="781"/>
      <c r="X53" s="1203"/>
      <c r="Y53" s="1203"/>
      <c r="Z53" s="781"/>
      <c r="AA53" s="781"/>
      <c r="AB53" s="781"/>
      <c r="AC53" s="781"/>
      <c r="AD53" s="781"/>
      <c r="AE53" s="781"/>
      <c r="AF53" s="781"/>
      <c r="AG53" s="781"/>
      <c r="AH53" s="781"/>
      <c r="AI53" s="782"/>
    </row>
    <row r="54" spans="1:35" ht="23.1" customHeight="1">
      <c r="A54" s="903"/>
      <c r="C54" s="47"/>
      <c r="D54" s="1215" t="s">
        <v>539</v>
      </c>
      <c r="E54" s="1216"/>
      <c r="F54" s="1199" t="s">
        <v>535</v>
      </c>
      <c r="G54" s="1200"/>
      <c r="H54" s="329">
        <f>ejercicio-1</f>
        <v>2021</v>
      </c>
      <c r="I54" s="329">
        <f>ejercicio</f>
        <v>2022</v>
      </c>
      <c r="J54" s="329">
        <f>ejercicio-1</f>
        <v>2021</v>
      </c>
      <c r="K54" s="329">
        <f>ejercicio</f>
        <v>2022</v>
      </c>
      <c r="L54" s="329" t="s">
        <v>542</v>
      </c>
      <c r="M54" s="329" t="s">
        <v>543</v>
      </c>
      <c r="N54" s="329" t="s">
        <v>544</v>
      </c>
      <c r="O54" s="331" t="s">
        <v>545</v>
      </c>
      <c r="P54" s="59"/>
      <c r="Q54" s="59"/>
      <c r="R54" s="59"/>
      <c r="S54" s="59"/>
      <c r="T54" s="39"/>
      <c r="V54" s="780"/>
      <c r="W54" s="781"/>
      <c r="X54" s="353">
        <f>ejercicio-1</f>
        <v>2021</v>
      </c>
      <c r="Y54" s="329">
        <f>ejercicio</f>
        <v>2022</v>
      </c>
      <c r="Z54" s="781"/>
      <c r="AA54" s="781"/>
      <c r="AB54" s="781"/>
      <c r="AC54" s="781"/>
      <c r="AD54" s="781"/>
      <c r="AE54" s="781"/>
      <c r="AF54" s="781"/>
      <c r="AG54" s="781"/>
      <c r="AH54" s="781"/>
      <c r="AI54" s="782"/>
    </row>
    <row r="55" spans="1:35" s="653" customFormat="1" ht="23.1" customHeight="1">
      <c r="A55" s="903"/>
      <c r="C55" s="651"/>
      <c r="D55" s="376" t="s">
        <v>556</v>
      </c>
      <c r="E55" s="956"/>
      <c r="F55" s="1071" t="s">
        <v>39</v>
      </c>
      <c r="G55" s="1072"/>
      <c r="H55" s="1035">
        <v>100000</v>
      </c>
      <c r="I55" s="991">
        <v>80000</v>
      </c>
      <c r="J55" s="1072">
        <v>180000</v>
      </c>
      <c r="K55" s="1072">
        <v>0</v>
      </c>
      <c r="L55" s="1082">
        <v>702</v>
      </c>
      <c r="M55" s="1082">
        <v>4141</v>
      </c>
      <c r="N55" s="1077">
        <v>48203</v>
      </c>
      <c r="O55" s="907" t="s">
        <v>557</v>
      </c>
      <c r="P55" s="1095"/>
      <c r="Q55" s="1095"/>
      <c r="R55" s="1095"/>
      <c r="S55" s="1095"/>
      <c r="T55" s="652"/>
      <c r="V55" s="814" t="str">
        <f t="shared" ref="V55:V84" si="6">IF(AND((H55=J55),(I55=K55)),"","Explicar diferencia entre la aportación s/criterio Entidad y s/criterio Cabildo o AAPP")</f>
        <v>Explicar diferencia entre la aportación s/criterio Entidad y s/criterio Cabildo o AAPP</v>
      </c>
      <c r="W55" s="781"/>
      <c r="X55" s="781"/>
      <c r="Y55" s="781"/>
      <c r="Z55" s="808" t="s">
        <v>558</v>
      </c>
      <c r="AA55" s="781"/>
      <c r="AB55" s="781"/>
      <c r="AC55" s="781"/>
      <c r="AD55" s="781"/>
      <c r="AE55" s="781"/>
      <c r="AF55" s="781"/>
      <c r="AG55" s="781"/>
      <c r="AH55" s="781"/>
      <c r="AI55" s="782"/>
    </row>
    <row r="56" spans="1:35" s="653" customFormat="1" ht="23.1" customHeight="1">
      <c r="A56" s="903"/>
      <c r="C56" s="651"/>
      <c r="D56" s="376" t="s">
        <v>556</v>
      </c>
      <c r="E56" s="1096"/>
      <c r="F56" s="1071" t="s">
        <v>39</v>
      </c>
      <c r="G56" s="1050"/>
      <c r="H56" s="1048">
        <v>15630.81</v>
      </c>
      <c r="I56" s="654">
        <v>0</v>
      </c>
      <c r="J56" s="1050">
        <v>0</v>
      </c>
      <c r="K56" s="1050">
        <v>0</v>
      </c>
      <c r="L56" s="1082">
        <v>702</v>
      </c>
      <c r="M56" s="1082">
        <v>4141</v>
      </c>
      <c r="N56" s="1082">
        <v>48203</v>
      </c>
      <c r="O56" s="907" t="s">
        <v>559</v>
      </c>
      <c r="P56" s="1095"/>
      <c r="Q56" s="1095"/>
      <c r="R56" s="1095"/>
      <c r="S56" s="1095"/>
      <c r="T56" s="652"/>
      <c r="V56" s="814"/>
      <c r="W56" s="781"/>
      <c r="X56" s="781"/>
      <c r="Y56" s="781"/>
      <c r="Z56" s="808"/>
      <c r="AA56" s="781"/>
      <c r="AB56" s="781"/>
      <c r="AC56" s="781"/>
      <c r="AD56" s="781"/>
      <c r="AE56" s="781"/>
      <c r="AF56" s="781"/>
      <c r="AG56" s="781"/>
      <c r="AH56" s="781"/>
      <c r="AI56" s="782"/>
    </row>
    <row r="57" spans="1:35" s="653" customFormat="1" ht="23.1" customHeight="1">
      <c r="A57" s="903"/>
      <c r="C57" s="651"/>
      <c r="D57" s="950" t="s">
        <v>560</v>
      </c>
      <c r="E57" s="1096"/>
      <c r="F57" s="1071" t="s">
        <v>39</v>
      </c>
      <c r="G57" s="1050"/>
      <c r="H57" s="1048">
        <v>14000</v>
      </c>
      <c r="I57" s="654">
        <v>0</v>
      </c>
      <c r="J57" s="1050">
        <v>14000</v>
      </c>
      <c r="K57" s="1050">
        <v>0</v>
      </c>
      <c r="L57" s="1082">
        <v>705</v>
      </c>
      <c r="M57" s="1082">
        <v>4198</v>
      </c>
      <c r="N57" s="1082">
        <v>48203</v>
      </c>
      <c r="O57" s="907">
        <v>2021</v>
      </c>
      <c r="P57" s="1095"/>
      <c r="Q57" s="1095"/>
      <c r="R57" s="1095"/>
      <c r="S57" s="1095"/>
      <c r="T57" s="652"/>
      <c r="V57" s="814" t="str">
        <f>IF(AND((H57=J57),(I57=K57)),"","Explicar diferencia entre la aportación s/criterio Entidad y s/criterio Cabildo o AAPP")</f>
        <v/>
      </c>
      <c r="W57" s="781"/>
      <c r="X57" s="781"/>
      <c r="Y57" s="781"/>
      <c r="Z57" s="808"/>
      <c r="AA57" s="781"/>
      <c r="AB57" s="781"/>
      <c r="AC57" s="781"/>
      <c r="AD57" s="781"/>
      <c r="AE57" s="781"/>
      <c r="AF57" s="781"/>
      <c r="AG57" s="781"/>
      <c r="AH57" s="781"/>
      <c r="AI57" s="782"/>
    </row>
    <row r="58" spans="1:35" s="653" customFormat="1" ht="23.1" customHeight="1">
      <c r="A58" s="903"/>
      <c r="C58" s="651"/>
      <c r="D58" s="950" t="s">
        <v>561</v>
      </c>
      <c r="E58" s="1096"/>
      <c r="F58" s="1071" t="s">
        <v>39</v>
      </c>
      <c r="G58" s="1050"/>
      <c r="H58" s="1048">
        <v>0</v>
      </c>
      <c r="I58" s="654">
        <v>14000</v>
      </c>
      <c r="J58" s="1050">
        <v>0</v>
      </c>
      <c r="K58" s="1050">
        <v>14000</v>
      </c>
      <c r="L58" s="1082">
        <v>705</v>
      </c>
      <c r="M58" s="1082">
        <v>4198</v>
      </c>
      <c r="N58" s="1082">
        <v>48203</v>
      </c>
      <c r="O58" s="907">
        <v>2022</v>
      </c>
      <c r="P58" s="1095"/>
      <c r="Q58" s="1095"/>
      <c r="R58" s="1095"/>
      <c r="S58" s="1095"/>
      <c r="T58" s="652"/>
      <c r="V58" s="814"/>
      <c r="W58" s="781"/>
      <c r="X58" s="781"/>
      <c r="Y58" s="781"/>
      <c r="Z58" s="808"/>
      <c r="AA58" s="781"/>
      <c r="AB58" s="781"/>
      <c r="AC58" s="781"/>
      <c r="AD58" s="781"/>
      <c r="AE58" s="781"/>
      <c r="AF58" s="781"/>
      <c r="AG58" s="781"/>
      <c r="AH58" s="781"/>
      <c r="AI58" s="782"/>
    </row>
    <row r="59" spans="1:35" s="653" customFormat="1" ht="23.1" customHeight="1">
      <c r="A59" s="903"/>
      <c r="C59" s="651"/>
      <c r="D59" s="950" t="s">
        <v>562</v>
      </c>
      <c r="E59" s="1096"/>
      <c r="F59" s="1071" t="s">
        <v>39</v>
      </c>
      <c r="G59" s="1050"/>
      <c r="H59" s="1048">
        <v>20779.400000000001</v>
      </c>
      <c r="I59" s="654">
        <v>0</v>
      </c>
      <c r="J59" s="1050">
        <v>0</v>
      </c>
      <c r="K59" s="1050">
        <v>0</v>
      </c>
      <c r="L59" s="1082">
        <v>702</v>
      </c>
      <c r="M59" s="1082">
        <v>4141</v>
      </c>
      <c r="N59" s="1082">
        <v>48203</v>
      </c>
      <c r="O59" s="907">
        <v>2020</v>
      </c>
      <c r="P59" s="1095"/>
      <c r="Q59" s="1095"/>
      <c r="R59" s="1095"/>
      <c r="S59" s="1095"/>
      <c r="T59" s="652"/>
      <c r="V59" s="814" t="str">
        <f>IF(AND((H59=J59),(I59=K59)),"","Explicar diferencia entre la aportación s/criterio Entidad y s/criterio Cabildo o AAPP")</f>
        <v>Explicar diferencia entre la aportación s/criterio Entidad y s/criterio Cabildo o AAPP</v>
      </c>
      <c r="W59" s="781"/>
      <c r="X59" s="781"/>
      <c r="Y59" s="781"/>
      <c r="Z59" s="808" t="s">
        <v>563</v>
      </c>
      <c r="AA59" s="781"/>
      <c r="AB59" s="781"/>
      <c r="AC59" s="781"/>
      <c r="AD59" s="781"/>
      <c r="AE59" s="781"/>
      <c r="AF59" s="781"/>
      <c r="AG59" s="781"/>
      <c r="AH59" s="781"/>
      <c r="AI59" s="782"/>
    </row>
    <row r="60" spans="1:35" s="653" customFormat="1" ht="23.1" customHeight="1">
      <c r="A60" s="903"/>
      <c r="C60" s="651"/>
      <c r="D60" s="950" t="s">
        <v>564</v>
      </c>
      <c r="E60" s="1096"/>
      <c r="F60" s="1071" t="s">
        <v>39</v>
      </c>
      <c r="G60" s="1050"/>
      <c r="H60" s="1048">
        <v>22330.44</v>
      </c>
      <c r="I60" s="654">
        <v>0</v>
      </c>
      <c r="J60" s="1050">
        <v>22330.44</v>
      </c>
      <c r="K60" s="1050">
        <v>0</v>
      </c>
      <c r="L60" s="1082">
        <v>702</v>
      </c>
      <c r="M60" s="1082">
        <v>4141</v>
      </c>
      <c r="N60" s="1082">
        <v>48203</v>
      </c>
      <c r="O60" s="907">
        <v>2021</v>
      </c>
      <c r="P60" s="1095"/>
      <c r="Q60" s="1095"/>
      <c r="R60" s="1095"/>
      <c r="S60" s="1095"/>
      <c r="T60" s="652"/>
      <c r="V60" s="814" t="str">
        <f>IF(AND((H60=J60),(I60=K60)),"","Explicar diferencia entre la aportación s/criterio Entidad y s/criterio Cabildo o AAPP")</f>
        <v/>
      </c>
      <c r="W60" s="781"/>
      <c r="X60" s="781"/>
      <c r="Y60" s="781"/>
      <c r="Z60" s="808"/>
      <c r="AA60" s="781"/>
      <c r="AB60" s="781"/>
      <c r="AC60" s="781"/>
      <c r="AD60" s="781"/>
      <c r="AE60" s="781"/>
      <c r="AF60" s="781"/>
      <c r="AG60" s="781"/>
      <c r="AH60" s="781"/>
      <c r="AI60" s="782"/>
    </row>
    <row r="61" spans="1:35" s="653" customFormat="1" ht="23.1" customHeight="1">
      <c r="A61" s="903"/>
      <c r="C61" s="651"/>
      <c r="D61" s="950" t="s">
        <v>565</v>
      </c>
      <c r="E61" s="1096"/>
      <c r="F61" s="1071" t="s">
        <v>39</v>
      </c>
      <c r="G61" s="1050"/>
      <c r="H61" s="1048">
        <v>0</v>
      </c>
      <c r="I61" s="654">
        <v>195000</v>
      </c>
      <c r="J61" s="1050">
        <v>0</v>
      </c>
      <c r="K61" s="1050">
        <v>195000</v>
      </c>
      <c r="L61" s="1082">
        <v>702</v>
      </c>
      <c r="M61" s="1082">
        <v>4141</v>
      </c>
      <c r="N61" s="1082">
        <v>48203</v>
      </c>
      <c r="O61" s="907">
        <v>2022</v>
      </c>
      <c r="P61" s="1095"/>
      <c r="Q61" s="1095"/>
      <c r="R61" s="1095"/>
      <c r="S61" s="1095"/>
      <c r="T61" s="652"/>
      <c r="V61" s="814" t="str">
        <f t="shared" si="6"/>
        <v/>
      </c>
      <c r="W61" s="781"/>
      <c r="X61" s="781"/>
      <c r="Y61" s="781"/>
      <c r="Z61" s="808"/>
      <c r="AA61" s="781"/>
      <c r="AB61" s="781"/>
      <c r="AC61" s="781"/>
      <c r="AD61" s="781"/>
      <c r="AE61" s="781"/>
      <c r="AF61" s="781"/>
      <c r="AG61" s="781"/>
      <c r="AH61" s="781"/>
      <c r="AI61" s="782"/>
    </row>
    <row r="62" spans="1:35" s="653" customFormat="1" ht="23.1" customHeight="1">
      <c r="A62" s="903"/>
      <c r="C62" s="651"/>
      <c r="D62" s="950"/>
      <c r="E62" s="1096"/>
      <c r="F62" s="1071"/>
      <c r="G62" s="1050"/>
      <c r="H62" s="1048"/>
      <c r="I62" s="654"/>
      <c r="J62" s="1050"/>
      <c r="K62" s="1050"/>
      <c r="L62" s="848"/>
      <c r="M62" s="848"/>
      <c r="N62" s="1082"/>
      <c r="O62" s="907"/>
      <c r="P62" s="1095"/>
      <c r="Q62" s="1095"/>
      <c r="R62" s="1095"/>
      <c r="S62" s="1095"/>
      <c r="T62" s="652"/>
      <c r="V62" s="814" t="str">
        <f t="shared" si="6"/>
        <v/>
      </c>
      <c r="W62" s="781"/>
      <c r="X62" s="781"/>
      <c r="Y62" s="781"/>
      <c r="Z62" s="808"/>
      <c r="AA62" s="781"/>
      <c r="AB62" s="781"/>
      <c r="AC62" s="781"/>
      <c r="AD62" s="781"/>
      <c r="AE62" s="781"/>
      <c r="AF62" s="781"/>
      <c r="AG62" s="781"/>
      <c r="AH62" s="781"/>
      <c r="AI62" s="782"/>
    </row>
    <row r="63" spans="1:35" s="653" customFormat="1" ht="23.1" customHeight="1">
      <c r="A63" s="975"/>
      <c r="C63" s="651"/>
      <c r="D63" s="950"/>
      <c r="E63" s="1096"/>
      <c r="F63" s="1071"/>
      <c r="G63" s="1050"/>
      <c r="H63" s="1048"/>
      <c r="I63" s="654"/>
      <c r="J63" s="1050"/>
      <c r="K63" s="1050"/>
      <c r="L63" s="848"/>
      <c r="M63" s="848"/>
      <c r="N63" s="1082"/>
      <c r="O63" s="907"/>
      <c r="P63" s="1095"/>
      <c r="Q63" s="1095"/>
      <c r="R63" s="1095"/>
      <c r="S63" s="1095"/>
      <c r="T63" s="652"/>
      <c r="V63" s="814" t="str">
        <f t="shared" si="6"/>
        <v/>
      </c>
      <c r="W63" s="781"/>
      <c r="X63" s="781"/>
      <c r="Y63" s="781"/>
      <c r="Z63" s="808"/>
      <c r="AA63" s="781"/>
      <c r="AB63" s="781"/>
      <c r="AC63" s="781"/>
      <c r="AD63" s="781"/>
      <c r="AE63" s="781"/>
      <c r="AF63" s="781"/>
      <c r="AG63" s="781"/>
      <c r="AH63" s="781"/>
      <c r="AI63" s="782"/>
    </row>
    <row r="64" spans="1:35" s="653" customFormat="1" ht="23.1" customHeight="1">
      <c r="A64" s="975"/>
      <c r="C64" s="651"/>
      <c r="D64" s="950"/>
      <c r="E64" s="1096"/>
      <c r="F64" s="1071"/>
      <c r="G64" s="1050"/>
      <c r="H64" s="1048"/>
      <c r="I64" s="654"/>
      <c r="J64" s="1050"/>
      <c r="K64" s="1050"/>
      <c r="L64" s="848"/>
      <c r="M64" s="848"/>
      <c r="N64" s="1082"/>
      <c r="O64" s="907"/>
      <c r="P64" s="1095"/>
      <c r="Q64" s="1095"/>
      <c r="R64" s="1095"/>
      <c r="S64" s="1095"/>
      <c r="T64" s="652"/>
      <c r="V64" s="814" t="str">
        <f t="shared" si="6"/>
        <v/>
      </c>
      <c r="W64" s="781"/>
      <c r="X64" s="781"/>
      <c r="Y64" s="781"/>
      <c r="Z64" s="808"/>
      <c r="AA64" s="781"/>
      <c r="AB64" s="781"/>
      <c r="AC64" s="781"/>
      <c r="AD64" s="781"/>
      <c r="AE64" s="781"/>
      <c r="AF64" s="781"/>
      <c r="AG64" s="781"/>
      <c r="AH64" s="781"/>
      <c r="AI64" s="782"/>
    </row>
    <row r="65" spans="1:35" s="653" customFormat="1" ht="23.1" customHeight="1">
      <c r="A65" s="975"/>
      <c r="C65" s="651"/>
      <c r="D65" s="950"/>
      <c r="E65" s="1096"/>
      <c r="F65" s="1071"/>
      <c r="G65" s="1050"/>
      <c r="H65" s="1048"/>
      <c r="I65" s="654"/>
      <c r="J65" s="1050"/>
      <c r="K65" s="1050"/>
      <c r="L65" s="848"/>
      <c r="M65" s="848"/>
      <c r="N65" s="1082"/>
      <c r="O65" s="907"/>
      <c r="P65" s="1095"/>
      <c r="Q65" s="1095"/>
      <c r="R65" s="1095"/>
      <c r="S65" s="1095"/>
      <c r="T65" s="652"/>
      <c r="V65" s="814" t="str">
        <f t="shared" si="6"/>
        <v/>
      </c>
      <c r="W65" s="781"/>
      <c r="X65" s="781"/>
      <c r="Y65" s="781"/>
      <c r="Z65" s="808"/>
      <c r="AA65" s="781"/>
      <c r="AB65" s="781"/>
      <c r="AC65" s="781"/>
      <c r="AD65" s="781"/>
      <c r="AE65" s="781"/>
      <c r="AF65" s="781"/>
      <c r="AG65" s="781"/>
      <c r="AH65" s="781"/>
      <c r="AI65" s="782"/>
    </row>
    <row r="66" spans="1:35" s="653" customFormat="1" ht="23.1" customHeight="1">
      <c r="A66" s="975"/>
      <c r="C66" s="651"/>
      <c r="D66" s="950"/>
      <c r="E66" s="1096"/>
      <c r="F66" s="1071"/>
      <c r="G66" s="1050"/>
      <c r="H66" s="1048"/>
      <c r="I66" s="654"/>
      <c r="J66" s="1050"/>
      <c r="K66" s="1050"/>
      <c r="L66" s="848"/>
      <c r="M66" s="848"/>
      <c r="N66" s="1082"/>
      <c r="O66" s="907"/>
      <c r="P66" s="1095"/>
      <c r="Q66" s="1095"/>
      <c r="R66" s="1095"/>
      <c r="S66" s="1095"/>
      <c r="T66" s="652"/>
      <c r="V66" s="814" t="str">
        <f t="shared" si="6"/>
        <v/>
      </c>
      <c r="W66" s="781"/>
      <c r="X66" s="781"/>
      <c r="Y66" s="781"/>
      <c r="Z66" s="808"/>
      <c r="AA66" s="781"/>
      <c r="AB66" s="781"/>
      <c r="AC66" s="781"/>
      <c r="AD66" s="781"/>
      <c r="AE66" s="781"/>
      <c r="AF66" s="781"/>
      <c r="AG66" s="781"/>
      <c r="AH66" s="781"/>
      <c r="AI66" s="782"/>
    </row>
    <row r="67" spans="1:35" s="653" customFormat="1" ht="23.1" customHeight="1">
      <c r="A67" s="975"/>
      <c r="C67" s="651"/>
      <c r="D67" s="950"/>
      <c r="E67" s="1096"/>
      <c r="F67" s="1071"/>
      <c r="G67" s="1050"/>
      <c r="H67" s="1048"/>
      <c r="I67" s="654"/>
      <c r="J67" s="1050"/>
      <c r="K67" s="1050"/>
      <c r="L67" s="848"/>
      <c r="M67" s="848"/>
      <c r="N67" s="1082"/>
      <c r="O67" s="907"/>
      <c r="P67" s="1095"/>
      <c r="Q67" s="1095"/>
      <c r="R67" s="1095"/>
      <c r="S67" s="1095"/>
      <c r="T67" s="652"/>
      <c r="V67" s="814" t="str">
        <f t="shared" si="6"/>
        <v/>
      </c>
      <c r="W67" s="781"/>
      <c r="X67" s="781"/>
      <c r="Y67" s="781"/>
      <c r="Z67" s="808"/>
      <c r="AA67" s="781"/>
      <c r="AB67" s="781"/>
      <c r="AC67" s="781"/>
      <c r="AD67" s="781"/>
      <c r="AE67" s="781"/>
      <c r="AF67" s="781"/>
      <c r="AG67" s="781"/>
      <c r="AH67" s="781"/>
      <c r="AI67" s="782"/>
    </row>
    <row r="68" spans="1:35" s="653" customFormat="1" ht="23.1" customHeight="1">
      <c r="A68" s="975"/>
      <c r="C68" s="651"/>
      <c r="D68" s="950"/>
      <c r="E68" s="1096"/>
      <c r="F68" s="1071"/>
      <c r="G68" s="1050"/>
      <c r="H68" s="1048"/>
      <c r="I68" s="654"/>
      <c r="J68" s="1050"/>
      <c r="K68" s="1050"/>
      <c r="L68" s="848"/>
      <c r="M68" s="848"/>
      <c r="N68" s="1082"/>
      <c r="O68" s="907"/>
      <c r="P68" s="1095"/>
      <c r="Q68" s="1095"/>
      <c r="R68" s="1095"/>
      <c r="S68" s="1095"/>
      <c r="T68" s="652"/>
      <c r="V68" s="814" t="str">
        <f t="shared" si="6"/>
        <v/>
      </c>
      <c r="W68" s="781"/>
      <c r="X68" s="781"/>
      <c r="Y68" s="781"/>
      <c r="Z68" s="808"/>
      <c r="AA68" s="781"/>
      <c r="AB68" s="781"/>
      <c r="AC68" s="781"/>
      <c r="AD68" s="781"/>
      <c r="AE68" s="781"/>
      <c r="AF68" s="781"/>
      <c r="AG68" s="781"/>
      <c r="AH68" s="781"/>
      <c r="AI68" s="782"/>
    </row>
    <row r="69" spans="1:35" s="653" customFormat="1" ht="23.1" customHeight="1">
      <c r="A69" s="975"/>
      <c r="C69" s="651"/>
      <c r="D69" s="950"/>
      <c r="E69" s="1096"/>
      <c r="F69" s="1071"/>
      <c r="G69" s="1050"/>
      <c r="H69" s="1048"/>
      <c r="I69" s="654"/>
      <c r="J69" s="1050"/>
      <c r="K69" s="1050"/>
      <c r="L69" s="848"/>
      <c r="M69" s="848"/>
      <c r="N69" s="1082"/>
      <c r="O69" s="907"/>
      <c r="P69" s="1095"/>
      <c r="Q69" s="1095"/>
      <c r="R69" s="1095"/>
      <c r="S69" s="1095"/>
      <c r="T69" s="652"/>
      <c r="V69" s="814" t="str">
        <f t="shared" si="6"/>
        <v/>
      </c>
      <c r="W69" s="781"/>
      <c r="X69" s="781"/>
      <c r="Y69" s="781"/>
      <c r="Z69" s="808"/>
      <c r="AA69" s="781"/>
      <c r="AB69" s="781"/>
      <c r="AC69" s="781"/>
      <c r="AD69" s="781"/>
      <c r="AE69" s="781"/>
      <c r="AF69" s="781"/>
      <c r="AG69" s="781"/>
      <c r="AH69" s="781"/>
      <c r="AI69" s="782"/>
    </row>
    <row r="70" spans="1:35" s="653" customFormat="1" ht="23.1" customHeight="1">
      <c r="A70" s="975"/>
      <c r="C70" s="651"/>
      <c r="D70" s="950"/>
      <c r="E70" s="1096"/>
      <c r="F70" s="1071"/>
      <c r="G70" s="1050"/>
      <c r="H70" s="1048"/>
      <c r="I70" s="654"/>
      <c r="J70" s="1050"/>
      <c r="K70" s="1050"/>
      <c r="L70" s="848"/>
      <c r="M70" s="848"/>
      <c r="N70" s="1082"/>
      <c r="O70" s="907"/>
      <c r="P70" s="1095"/>
      <c r="Q70" s="1095"/>
      <c r="R70" s="1095"/>
      <c r="S70" s="1095"/>
      <c r="T70" s="652"/>
      <c r="V70" s="814" t="str">
        <f t="shared" si="6"/>
        <v/>
      </c>
      <c r="W70" s="781"/>
      <c r="X70" s="781"/>
      <c r="Y70" s="781"/>
      <c r="Z70" s="808"/>
      <c r="AA70" s="781"/>
      <c r="AB70" s="781"/>
      <c r="AC70" s="781"/>
      <c r="AD70" s="781"/>
      <c r="AE70" s="781"/>
      <c r="AF70" s="781"/>
      <c r="AG70" s="781"/>
      <c r="AH70" s="781"/>
      <c r="AI70" s="782"/>
    </row>
    <row r="71" spans="1:35" s="653" customFormat="1" ht="23.1" customHeight="1">
      <c r="A71" s="975"/>
      <c r="C71" s="651"/>
      <c r="D71" s="950"/>
      <c r="E71" s="1096"/>
      <c r="F71" s="1071"/>
      <c r="G71" s="1050"/>
      <c r="H71" s="1048"/>
      <c r="I71" s="654"/>
      <c r="J71" s="1050"/>
      <c r="K71" s="1050"/>
      <c r="L71" s="848"/>
      <c r="M71" s="848"/>
      <c r="N71" s="1082"/>
      <c r="O71" s="907"/>
      <c r="P71" s="1095"/>
      <c r="Q71" s="1095"/>
      <c r="R71" s="1095"/>
      <c r="S71" s="1095"/>
      <c r="T71" s="652"/>
      <c r="V71" s="814" t="str">
        <f t="shared" si="6"/>
        <v/>
      </c>
      <c r="W71" s="781"/>
      <c r="X71" s="781"/>
      <c r="Y71" s="781"/>
      <c r="Z71" s="808"/>
      <c r="AA71" s="781"/>
      <c r="AB71" s="781"/>
      <c r="AC71" s="781"/>
      <c r="AD71" s="781"/>
      <c r="AE71" s="781"/>
      <c r="AF71" s="781"/>
      <c r="AG71" s="781"/>
      <c r="AH71" s="781"/>
      <c r="AI71" s="782"/>
    </row>
    <row r="72" spans="1:35" s="653" customFormat="1" ht="23.1" customHeight="1">
      <c r="A72" s="975"/>
      <c r="C72" s="651"/>
      <c r="D72" s="950"/>
      <c r="E72" s="1096"/>
      <c r="F72" s="1071"/>
      <c r="G72" s="1050"/>
      <c r="H72" s="1048"/>
      <c r="I72" s="654"/>
      <c r="J72" s="1050"/>
      <c r="K72" s="1050"/>
      <c r="L72" s="848"/>
      <c r="M72" s="848"/>
      <c r="N72" s="1082"/>
      <c r="O72" s="907"/>
      <c r="P72" s="1095"/>
      <c r="Q72" s="1095"/>
      <c r="R72" s="1095"/>
      <c r="S72" s="1095"/>
      <c r="T72" s="652"/>
      <c r="V72" s="814" t="str">
        <f t="shared" si="6"/>
        <v/>
      </c>
      <c r="W72" s="781"/>
      <c r="X72" s="781"/>
      <c r="Y72" s="781"/>
      <c r="Z72" s="808"/>
      <c r="AA72" s="781"/>
      <c r="AB72" s="781"/>
      <c r="AC72" s="781"/>
      <c r="AD72" s="781"/>
      <c r="AE72" s="781"/>
      <c r="AF72" s="781"/>
      <c r="AG72" s="781"/>
      <c r="AH72" s="781"/>
      <c r="AI72" s="782"/>
    </row>
    <row r="73" spans="1:35" s="653" customFormat="1" ht="23.1" customHeight="1">
      <c r="A73" s="975"/>
      <c r="C73" s="651"/>
      <c r="D73" s="950"/>
      <c r="E73" s="1096"/>
      <c r="F73" s="1071"/>
      <c r="G73" s="1050"/>
      <c r="H73" s="1048"/>
      <c r="I73" s="654"/>
      <c r="J73" s="1050"/>
      <c r="K73" s="1050"/>
      <c r="L73" s="848"/>
      <c r="M73" s="848"/>
      <c r="N73" s="1082"/>
      <c r="O73" s="907"/>
      <c r="P73" s="1095"/>
      <c r="Q73" s="1095"/>
      <c r="R73" s="1095"/>
      <c r="S73" s="1095"/>
      <c r="T73" s="652"/>
      <c r="V73" s="814" t="str">
        <f t="shared" si="6"/>
        <v/>
      </c>
      <c r="W73" s="781"/>
      <c r="X73" s="781"/>
      <c r="Y73" s="781"/>
      <c r="Z73" s="808"/>
      <c r="AA73" s="781"/>
      <c r="AB73" s="781"/>
      <c r="AC73" s="781"/>
      <c r="AD73" s="781"/>
      <c r="AE73" s="781"/>
      <c r="AF73" s="781"/>
      <c r="AG73" s="781"/>
      <c r="AH73" s="781"/>
      <c r="AI73" s="782"/>
    </row>
    <row r="74" spans="1:35" s="653" customFormat="1" ht="23.1" customHeight="1">
      <c r="A74" s="975"/>
      <c r="C74" s="651"/>
      <c r="D74" s="950"/>
      <c r="E74" s="1096"/>
      <c r="F74" s="1071"/>
      <c r="G74" s="1050"/>
      <c r="H74" s="1048"/>
      <c r="I74" s="654"/>
      <c r="J74" s="1050"/>
      <c r="K74" s="1050"/>
      <c r="L74" s="848"/>
      <c r="M74" s="848"/>
      <c r="N74" s="1082"/>
      <c r="O74" s="907"/>
      <c r="P74" s="1095"/>
      <c r="Q74" s="1095"/>
      <c r="R74" s="1095"/>
      <c r="S74" s="1095"/>
      <c r="T74" s="652"/>
      <c r="V74" s="814" t="str">
        <f t="shared" si="6"/>
        <v/>
      </c>
      <c r="W74" s="781"/>
      <c r="X74" s="781"/>
      <c r="Y74" s="781"/>
      <c r="Z74" s="808"/>
      <c r="AA74" s="781"/>
      <c r="AB74" s="781"/>
      <c r="AC74" s="781"/>
      <c r="AD74" s="781"/>
      <c r="AE74" s="781"/>
      <c r="AF74" s="781"/>
      <c r="AG74" s="781"/>
      <c r="AH74" s="781"/>
      <c r="AI74" s="782"/>
    </row>
    <row r="75" spans="1:35" s="653" customFormat="1" ht="23.1" customHeight="1">
      <c r="A75" s="975"/>
      <c r="C75" s="651"/>
      <c r="D75" s="950"/>
      <c r="E75" s="1096"/>
      <c r="F75" s="1071"/>
      <c r="G75" s="1050"/>
      <c r="H75" s="1048"/>
      <c r="I75" s="654"/>
      <c r="J75" s="1050"/>
      <c r="K75" s="1050"/>
      <c r="L75" s="848"/>
      <c r="M75" s="848"/>
      <c r="N75" s="1082"/>
      <c r="O75" s="907"/>
      <c r="P75" s="1095"/>
      <c r="Q75" s="1095"/>
      <c r="R75" s="1095"/>
      <c r="S75" s="1095"/>
      <c r="T75" s="652"/>
      <c r="V75" s="814" t="str">
        <f t="shared" si="6"/>
        <v/>
      </c>
      <c r="W75" s="781"/>
      <c r="X75" s="781"/>
      <c r="Y75" s="781"/>
      <c r="Z75" s="808"/>
      <c r="AA75" s="781"/>
      <c r="AB75" s="781"/>
      <c r="AC75" s="781"/>
      <c r="AD75" s="781"/>
      <c r="AE75" s="781"/>
      <c r="AF75" s="781"/>
      <c r="AG75" s="781"/>
      <c r="AH75" s="781"/>
      <c r="AI75" s="782"/>
    </row>
    <row r="76" spans="1:35" s="653" customFormat="1" ht="23.1" customHeight="1">
      <c r="A76" s="975"/>
      <c r="C76" s="651"/>
      <c r="D76" s="950"/>
      <c r="E76" s="1096"/>
      <c r="F76" s="1071"/>
      <c r="G76" s="1050"/>
      <c r="H76" s="1048"/>
      <c r="I76" s="654"/>
      <c r="J76" s="1050"/>
      <c r="K76" s="1050"/>
      <c r="L76" s="848"/>
      <c r="M76" s="848"/>
      <c r="N76" s="1082"/>
      <c r="O76" s="907"/>
      <c r="P76" s="1095"/>
      <c r="Q76" s="1095"/>
      <c r="R76" s="1095"/>
      <c r="S76" s="1095"/>
      <c r="T76" s="652"/>
      <c r="V76" s="814" t="str">
        <f t="shared" si="6"/>
        <v/>
      </c>
      <c r="W76" s="781"/>
      <c r="X76" s="781"/>
      <c r="Y76" s="781"/>
      <c r="Z76" s="808"/>
      <c r="AA76" s="781"/>
      <c r="AB76" s="781"/>
      <c r="AC76" s="781"/>
      <c r="AD76" s="781"/>
      <c r="AE76" s="781"/>
      <c r="AF76" s="781"/>
      <c r="AG76" s="781"/>
      <c r="AH76" s="781"/>
      <c r="AI76" s="782"/>
    </row>
    <row r="77" spans="1:35" s="653" customFormat="1" ht="23.1" customHeight="1">
      <c r="A77" s="975"/>
      <c r="C77" s="651"/>
      <c r="D77" s="950"/>
      <c r="E77" s="1096"/>
      <c r="F77" s="1071"/>
      <c r="G77" s="1050"/>
      <c r="H77" s="1048"/>
      <c r="I77" s="654"/>
      <c r="J77" s="1050"/>
      <c r="K77" s="1050"/>
      <c r="L77" s="848"/>
      <c r="M77" s="848"/>
      <c r="N77" s="1082"/>
      <c r="O77" s="907"/>
      <c r="P77" s="1095"/>
      <c r="Q77" s="1095"/>
      <c r="R77" s="1095"/>
      <c r="S77" s="1095"/>
      <c r="T77" s="652"/>
      <c r="V77" s="814" t="str">
        <f t="shared" si="6"/>
        <v/>
      </c>
      <c r="W77" s="781"/>
      <c r="X77" s="781"/>
      <c r="Y77" s="781"/>
      <c r="Z77" s="808"/>
      <c r="AA77" s="781"/>
      <c r="AB77" s="781"/>
      <c r="AC77" s="781"/>
      <c r="AD77" s="781"/>
      <c r="AE77" s="781"/>
      <c r="AF77" s="781"/>
      <c r="AG77" s="781"/>
      <c r="AH77" s="781"/>
      <c r="AI77" s="782"/>
    </row>
    <row r="78" spans="1:35" s="653" customFormat="1" ht="23.1" customHeight="1">
      <c r="A78" s="975"/>
      <c r="C78" s="651"/>
      <c r="D78" s="633"/>
      <c r="E78" s="634"/>
      <c r="F78" s="1071"/>
      <c r="G78" s="1054"/>
      <c r="H78" s="1048"/>
      <c r="I78" s="654"/>
      <c r="J78" s="1050"/>
      <c r="K78" s="1050"/>
      <c r="L78" s="848"/>
      <c r="M78" s="848"/>
      <c r="N78" s="1082"/>
      <c r="O78" s="907"/>
      <c r="P78" s="1095"/>
      <c r="Q78" s="1095"/>
      <c r="R78" s="1095"/>
      <c r="S78" s="1095"/>
      <c r="T78" s="652"/>
      <c r="V78" s="814" t="str">
        <f t="shared" si="6"/>
        <v/>
      </c>
      <c r="W78" s="781"/>
      <c r="X78" s="781"/>
      <c r="Y78" s="781"/>
      <c r="Z78" s="808"/>
      <c r="AA78" s="781"/>
      <c r="AB78" s="781"/>
      <c r="AC78" s="781"/>
      <c r="AD78" s="781"/>
      <c r="AE78" s="781"/>
      <c r="AF78" s="781"/>
      <c r="AG78" s="781"/>
      <c r="AH78" s="781"/>
      <c r="AI78" s="782"/>
    </row>
    <row r="79" spans="1:35" s="653" customFormat="1" ht="23.1" customHeight="1">
      <c r="A79" s="975"/>
      <c r="C79" s="651"/>
      <c r="D79" s="633"/>
      <c r="E79" s="634"/>
      <c r="F79" s="1071"/>
      <c r="G79" s="1054"/>
      <c r="H79" s="1048"/>
      <c r="I79" s="654"/>
      <c r="J79" s="1050"/>
      <c r="K79" s="1050"/>
      <c r="L79" s="848"/>
      <c r="M79" s="848"/>
      <c r="N79" s="1082"/>
      <c r="O79" s="907"/>
      <c r="P79" s="1095"/>
      <c r="Q79" s="1095"/>
      <c r="R79" s="1095"/>
      <c r="S79" s="1095"/>
      <c r="T79" s="652"/>
      <c r="V79" s="814" t="str">
        <f t="shared" si="6"/>
        <v/>
      </c>
      <c r="W79" s="781"/>
      <c r="X79" s="781"/>
      <c r="Y79" s="781"/>
      <c r="Z79" s="808"/>
      <c r="AA79" s="781"/>
      <c r="AB79" s="781"/>
      <c r="AC79" s="781"/>
      <c r="AD79" s="781"/>
      <c r="AE79" s="781"/>
      <c r="AF79" s="781"/>
      <c r="AG79" s="781"/>
      <c r="AH79" s="781"/>
      <c r="AI79" s="782"/>
    </row>
    <row r="80" spans="1:35" s="653" customFormat="1" ht="23.1" customHeight="1">
      <c r="A80" s="975"/>
      <c r="C80" s="651"/>
      <c r="D80" s="633"/>
      <c r="E80" s="634"/>
      <c r="F80" s="1071"/>
      <c r="G80" s="1054"/>
      <c r="H80" s="1048"/>
      <c r="I80" s="654"/>
      <c r="J80" s="1050"/>
      <c r="K80" s="1050"/>
      <c r="L80" s="848"/>
      <c r="M80" s="848"/>
      <c r="N80" s="1082"/>
      <c r="O80" s="907"/>
      <c r="P80" s="1095"/>
      <c r="Q80" s="1095"/>
      <c r="R80" s="1095"/>
      <c r="S80" s="1095"/>
      <c r="T80" s="652"/>
      <c r="V80" s="814" t="str">
        <f t="shared" si="6"/>
        <v/>
      </c>
      <c r="W80" s="781"/>
      <c r="X80" s="781"/>
      <c r="Y80" s="781"/>
      <c r="Z80" s="808"/>
      <c r="AA80" s="781"/>
      <c r="AB80" s="781"/>
      <c r="AC80" s="781"/>
      <c r="AD80" s="781"/>
      <c r="AE80" s="781"/>
      <c r="AF80" s="781"/>
      <c r="AG80" s="781"/>
      <c r="AH80" s="781"/>
      <c r="AI80" s="782"/>
    </row>
    <row r="81" spans="1:35" s="653" customFormat="1" ht="23.1" customHeight="1">
      <c r="A81" s="975"/>
      <c r="C81" s="651"/>
      <c r="D81" s="633"/>
      <c r="E81" s="634"/>
      <c r="F81" s="1071"/>
      <c r="G81" s="1054"/>
      <c r="H81" s="1038"/>
      <c r="I81" s="711"/>
      <c r="J81" s="1054"/>
      <c r="K81" s="1054"/>
      <c r="L81" s="849"/>
      <c r="M81" s="849"/>
      <c r="N81" s="1085"/>
      <c r="O81" s="907"/>
      <c r="P81" s="1095"/>
      <c r="Q81" s="1095"/>
      <c r="R81" s="1095"/>
      <c r="S81" s="1095"/>
      <c r="T81" s="652"/>
      <c r="V81" s="814" t="str">
        <f t="shared" si="6"/>
        <v/>
      </c>
      <c r="W81" s="781"/>
      <c r="X81" s="781"/>
      <c r="Y81" s="781"/>
      <c r="Z81" s="808"/>
      <c r="AA81" s="781"/>
      <c r="AB81" s="781"/>
      <c r="AC81" s="781"/>
      <c r="AD81" s="781"/>
      <c r="AE81" s="781"/>
      <c r="AF81" s="781"/>
      <c r="AG81" s="781"/>
      <c r="AH81" s="781"/>
      <c r="AI81" s="782"/>
    </row>
    <row r="82" spans="1:35" s="653" customFormat="1" ht="23.1" customHeight="1">
      <c r="A82" s="975"/>
      <c r="C82" s="651"/>
      <c r="D82" s="633"/>
      <c r="E82" s="634"/>
      <c r="F82" s="1071"/>
      <c r="G82" s="1054"/>
      <c r="H82" s="1038"/>
      <c r="I82" s="711"/>
      <c r="J82" s="1054"/>
      <c r="K82" s="1054"/>
      <c r="L82" s="849"/>
      <c r="M82" s="849"/>
      <c r="N82" s="1085"/>
      <c r="O82" s="907"/>
      <c r="P82" s="1095"/>
      <c r="Q82" s="1095"/>
      <c r="R82" s="1095"/>
      <c r="S82" s="1095"/>
      <c r="T82" s="652"/>
      <c r="V82" s="814" t="str">
        <f t="shared" si="6"/>
        <v/>
      </c>
      <c r="W82" s="781"/>
      <c r="X82" s="781"/>
      <c r="Y82" s="781"/>
      <c r="Z82" s="808"/>
      <c r="AA82" s="781"/>
      <c r="AB82" s="781"/>
      <c r="AC82" s="781"/>
      <c r="AD82" s="781"/>
      <c r="AE82" s="781"/>
      <c r="AF82" s="781"/>
      <c r="AG82" s="781"/>
      <c r="AH82" s="781"/>
      <c r="AI82" s="782"/>
    </row>
    <row r="83" spans="1:35" s="653" customFormat="1" ht="23.1" customHeight="1">
      <c r="A83" s="975"/>
      <c r="C83" s="651"/>
      <c r="D83" s="633"/>
      <c r="E83" s="634"/>
      <c r="F83" s="1071"/>
      <c r="G83" s="1054"/>
      <c r="H83" s="1038"/>
      <c r="I83" s="711"/>
      <c r="J83" s="1054"/>
      <c r="K83" s="1054"/>
      <c r="L83" s="849"/>
      <c r="M83" s="849"/>
      <c r="N83" s="1085"/>
      <c r="O83" s="907"/>
      <c r="P83" s="1095"/>
      <c r="Q83" s="1095"/>
      <c r="R83" s="1095"/>
      <c r="S83" s="1095"/>
      <c r="T83" s="652"/>
      <c r="V83" s="814" t="str">
        <f t="shared" si="6"/>
        <v/>
      </c>
      <c r="W83" s="781"/>
      <c r="X83" s="781"/>
      <c r="Y83" s="781"/>
      <c r="Z83" s="808"/>
      <c r="AA83" s="781"/>
      <c r="AB83" s="781"/>
      <c r="AC83" s="781"/>
      <c r="AD83" s="781"/>
      <c r="AE83" s="781"/>
      <c r="AF83" s="781"/>
      <c r="AG83" s="781"/>
      <c r="AH83" s="781"/>
      <c r="AI83" s="782"/>
    </row>
    <row r="84" spans="1:35" s="653" customFormat="1" ht="23.1" customHeight="1">
      <c r="A84" s="975"/>
      <c r="C84" s="651"/>
      <c r="D84" s="633"/>
      <c r="E84" s="634"/>
      <c r="F84" s="1071"/>
      <c r="G84" s="1054"/>
      <c r="H84" s="1056"/>
      <c r="I84" s="716"/>
      <c r="J84" s="1058"/>
      <c r="K84" s="1058"/>
      <c r="L84" s="851"/>
      <c r="M84" s="851"/>
      <c r="N84" s="1097"/>
      <c r="O84" s="909"/>
      <c r="P84" s="1095"/>
      <c r="Q84" s="1095"/>
      <c r="R84" s="1095"/>
      <c r="S84" s="1095"/>
      <c r="T84" s="652"/>
      <c r="V84" s="814" t="str">
        <f t="shared" si="6"/>
        <v/>
      </c>
      <c r="W84" s="781"/>
      <c r="X84" s="781"/>
      <c r="Y84" s="781"/>
      <c r="Z84" s="808"/>
      <c r="AA84" s="781"/>
      <c r="AB84" s="781"/>
      <c r="AC84" s="781"/>
      <c r="AD84" s="781"/>
      <c r="AE84" s="781"/>
      <c r="AF84" s="781"/>
      <c r="AG84" s="781"/>
      <c r="AH84" s="781"/>
      <c r="AI84" s="782"/>
    </row>
    <row r="85" spans="1:35" ht="23.1" customHeight="1" thickBot="1">
      <c r="A85" s="975"/>
      <c r="C85" s="47"/>
      <c r="D85" s="1219" t="s">
        <v>546</v>
      </c>
      <c r="E85" s="1220"/>
      <c r="F85" s="1220"/>
      <c r="G85" s="1221"/>
      <c r="H85" s="70">
        <f>SUM(H55:H84)</f>
        <v>172740.65</v>
      </c>
      <c r="I85" s="70">
        <f>SUM(I55:I84)</f>
        <v>289000</v>
      </c>
      <c r="J85" s="70">
        <f>SUM(J55:J84)</f>
        <v>216330.44</v>
      </c>
      <c r="K85" s="70">
        <f>SUM(K55:K84)</f>
        <v>209000</v>
      </c>
      <c r="L85" s="97"/>
      <c r="M85" s="59"/>
      <c r="N85" s="59"/>
      <c r="P85" s="59"/>
      <c r="Q85" s="59"/>
      <c r="R85" s="59"/>
      <c r="S85" s="59"/>
      <c r="T85" s="39"/>
      <c r="V85" s="780"/>
      <c r="W85" s="781"/>
      <c r="X85" s="781"/>
      <c r="Y85" s="781"/>
      <c r="Z85" s="808"/>
      <c r="AA85" s="781"/>
      <c r="AB85" s="781"/>
      <c r="AC85" s="781"/>
      <c r="AD85" s="781"/>
      <c r="AE85" s="781"/>
      <c r="AF85" s="781"/>
      <c r="AG85" s="781"/>
      <c r="AH85" s="781"/>
      <c r="AI85" s="782"/>
    </row>
    <row r="86" spans="1:35" ht="23.1" customHeight="1">
      <c r="A86" s="975"/>
      <c r="C86" s="47"/>
      <c r="D86" s="632"/>
      <c r="E86" s="632"/>
      <c r="F86" s="99"/>
      <c r="G86" s="644" t="s">
        <v>566</v>
      </c>
      <c r="H86" s="99">
        <f>SUMIF(F55:F84,"Cabildo Insular de Tenerife",H55:H84)</f>
        <v>172740.65</v>
      </c>
      <c r="I86" s="99">
        <f>SUMIF(F55:F84,"Cabildo Insular de Tenerife",I55:I84)</f>
        <v>289000</v>
      </c>
      <c r="J86" s="99">
        <f>SUMIF(F55:F84,"Cabildo Insular de Tenerife",J55:J84)</f>
        <v>216330.44</v>
      </c>
      <c r="K86" s="99">
        <f>SUMIF(F55:F84,"Cabildo Insular de Tenerife",K55:K84)</f>
        <v>209000</v>
      </c>
      <c r="L86" s="99"/>
      <c r="M86" s="99"/>
      <c r="N86" s="392"/>
      <c r="P86" s="392"/>
      <c r="Q86" s="392"/>
      <c r="R86" s="392"/>
      <c r="S86" s="392"/>
      <c r="T86" s="39"/>
      <c r="V86" s="780"/>
      <c r="W86" s="781"/>
      <c r="X86" s="781"/>
      <c r="Y86" s="781"/>
      <c r="Z86" s="808"/>
      <c r="AA86" s="781"/>
      <c r="AB86" s="781"/>
      <c r="AC86" s="781"/>
      <c r="AD86" s="781"/>
      <c r="AE86" s="781"/>
      <c r="AF86" s="781"/>
      <c r="AG86" s="781"/>
      <c r="AH86" s="781"/>
      <c r="AI86" s="782"/>
    </row>
    <row r="87" spans="1:35" ht="23.1" customHeight="1">
      <c r="A87" s="975"/>
      <c r="C87" s="47"/>
      <c r="D87" s="632"/>
      <c r="E87" s="632"/>
      <c r="F87" s="99"/>
      <c r="G87" s="644" t="s">
        <v>567</v>
      </c>
      <c r="H87" s="99">
        <f>SUMIF($F$55:$F$84,"Otros - Unidad dependiente del Cabildo",$H$55:$H$84)</f>
        <v>0</v>
      </c>
      <c r="I87" s="99">
        <f>SUMIF($F$55:$F$84,"Otros - Unidad dependiente del Cabildo",$I$55:$I$84)</f>
        <v>0</v>
      </c>
      <c r="J87" s="99">
        <f>SUMIF($F$55:$F$84,"Otros - Unidad dependiente del Cabildo",$J$55:$J$84)</f>
        <v>0</v>
      </c>
      <c r="K87" s="99">
        <f>SUMIF($F$55:$F$84,"Otros - Unidad dependiente del Cabildo",$K$55:$K$84)</f>
        <v>0</v>
      </c>
      <c r="L87" s="99"/>
      <c r="M87" s="99"/>
      <c r="N87" s="392"/>
      <c r="P87" s="392"/>
      <c r="Q87" s="392"/>
      <c r="R87" s="392"/>
      <c r="S87" s="392"/>
      <c r="T87" s="39"/>
      <c r="V87" s="780"/>
      <c r="W87" s="781"/>
      <c r="X87" s="781"/>
      <c r="Y87" s="781"/>
      <c r="Z87" s="808"/>
      <c r="AA87" s="781"/>
      <c r="AB87" s="781"/>
      <c r="AC87" s="781"/>
      <c r="AD87" s="781"/>
      <c r="AE87" s="781"/>
      <c r="AF87" s="781"/>
      <c r="AG87" s="781"/>
      <c r="AH87" s="781"/>
      <c r="AI87" s="782"/>
    </row>
    <row r="88" spans="1:35" ht="23.1" customHeight="1">
      <c r="A88" s="975"/>
      <c r="C88" s="47"/>
      <c r="D88" s="632"/>
      <c r="E88" s="632"/>
      <c r="F88" s="99"/>
      <c r="G88" s="644" t="s">
        <v>568</v>
      </c>
      <c r="H88" s="99">
        <f>SUMIF($F$55:$F$84,"Otros - Unión Europea",$H$55:$H$84)</f>
        <v>0</v>
      </c>
      <c r="I88" s="99">
        <f>SUMIF($F$55:$F$84,"Otros - Unión Europea",$I$55:$I$84)</f>
        <v>0</v>
      </c>
      <c r="J88" s="99">
        <f>SUMIF($F$55:$F$84,"Otros - Unión Europea",$J$55:$J$84)</f>
        <v>0</v>
      </c>
      <c r="K88" s="99">
        <f>SUMIF($F$55:$F$84,"Otros - Unión Europea",$K$55:$K$84)</f>
        <v>0</v>
      </c>
      <c r="L88" s="99"/>
      <c r="M88" s="99"/>
      <c r="N88" s="392"/>
      <c r="P88" s="392"/>
      <c r="Q88" s="392"/>
      <c r="R88" s="392"/>
      <c r="S88" s="392"/>
      <c r="T88" s="39"/>
      <c r="V88" s="780"/>
      <c r="W88" s="781"/>
      <c r="X88" s="781"/>
      <c r="Y88" s="781"/>
      <c r="Z88" s="808"/>
      <c r="AA88" s="781"/>
      <c r="AB88" s="781"/>
      <c r="AC88" s="781"/>
      <c r="AD88" s="781"/>
      <c r="AE88" s="781"/>
      <c r="AF88" s="781"/>
      <c r="AG88" s="781"/>
      <c r="AH88" s="781"/>
      <c r="AI88" s="782"/>
    </row>
    <row r="89" spans="1:35" ht="23.1" customHeight="1">
      <c r="A89" s="975"/>
      <c r="C89" s="47"/>
      <c r="D89" s="632"/>
      <c r="E89" s="632"/>
      <c r="F89" s="99"/>
      <c r="G89" s="644" t="s">
        <v>569</v>
      </c>
      <c r="H89" s="99">
        <f>SUMIF($F$55:$F$84,"Otros - De otras Administraciones y Entes públicos",$H$55:$H$84)</f>
        <v>0</v>
      </c>
      <c r="I89" s="99">
        <f>SUMIF($F$55:$F$84,"Otros - De otras Administraciones y Entes públicos",$I$55:$I$84)</f>
        <v>0</v>
      </c>
      <c r="J89" s="99">
        <f>SUMIF($F$55:$F$84,"Otros - De otras Administraciones y Entes públicos",$J$55:$J$84)</f>
        <v>0</v>
      </c>
      <c r="K89" s="99">
        <f>SUMIF($F$55:$F$84,"Otros - De otras Administraciones y Entes públicos",$K$55:$K$84)</f>
        <v>0</v>
      </c>
      <c r="L89" s="99"/>
      <c r="M89" s="99"/>
      <c r="N89" s="392"/>
      <c r="P89" s="392"/>
      <c r="Q89" s="392"/>
      <c r="R89" s="392"/>
      <c r="S89" s="392"/>
      <c r="T89" s="39"/>
      <c r="V89" s="780"/>
      <c r="W89" s="781"/>
      <c r="X89" s="781"/>
      <c r="Y89" s="781"/>
      <c r="Z89" s="808"/>
      <c r="AA89" s="781"/>
      <c r="AB89" s="781"/>
      <c r="AC89" s="781"/>
      <c r="AD89" s="781"/>
      <c r="AE89" s="781"/>
      <c r="AF89" s="781"/>
      <c r="AG89" s="781"/>
      <c r="AH89" s="781"/>
      <c r="AI89" s="782"/>
    </row>
    <row r="90" spans="1:35" ht="23.1" customHeight="1">
      <c r="A90" s="975"/>
      <c r="C90" s="47"/>
      <c r="D90" s="632"/>
      <c r="E90" s="632"/>
      <c r="F90" s="99"/>
      <c r="G90" s="644"/>
      <c r="H90" s="99"/>
      <c r="I90" s="99"/>
      <c r="J90" s="99"/>
      <c r="K90" s="99"/>
      <c r="L90" s="99"/>
      <c r="M90" s="99"/>
      <c r="N90" s="392"/>
      <c r="P90" s="392"/>
      <c r="Q90" s="392"/>
      <c r="R90" s="392"/>
      <c r="S90" s="392"/>
      <c r="T90" s="39"/>
      <c r="V90" s="780"/>
      <c r="W90" s="781"/>
      <c r="X90" s="781"/>
      <c r="Y90" s="781"/>
      <c r="Z90" s="781"/>
      <c r="AA90" s="781"/>
      <c r="AB90" s="781"/>
      <c r="AC90" s="781"/>
      <c r="AD90" s="781"/>
      <c r="AE90" s="781"/>
      <c r="AF90" s="781"/>
      <c r="AG90" s="781"/>
      <c r="AH90" s="781"/>
      <c r="AI90" s="782"/>
    </row>
    <row r="91" spans="1:35" s="46" customFormat="1" ht="30" customHeight="1">
      <c r="A91" s="975"/>
      <c r="C91" s="42"/>
      <c r="D91" s="28" t="s">
        <v>570</v>
      </c>
      <c r="E91" s="8"/>
      <c r="F91" s="31"/>
      <c r="G91" s="31"/>
      <c r="H91" s="31"/>
      <c r="I91" s="31"/>
      <c r="J91" s="31"/>
      <c r="K91" s="31"/>
      <c r="L91" s="31"/>
      <c r="M91" s="31"/>
      <c r="N91" s="31"/>
      <c r="O91" s="33"/>
      <c r="P91" s="392"/>
      <c r="Q91" s="392"/>
      <c r="R91" s="392"/>
      <c r="S91" s="392"/>
      <c r="T91" s="45"/>
      <c r="V91" s="780"/>
      <c r="W91" s="781"/>
      <c r="X91" s="1203" t="s">
        <v>533</v>
      </c>
      <c r="Y91" s="1203"/>
      <c r="Z91" s="781"/>
      <c r="AA91" s="781"/>
      <c r="AB91" s="781"/>
      <c r="AC91" s="781"/>
      <c r="AD91" s="781"/>
      <c r="AE91" s="781"/>
      <c r="AF91" s="781"/>
      <c r="AG91" s="781"/>
      <c r="AH91" s="781"/>
      <c r="AI91" s="782"/>
    </row>
    <row r="92" spans="1:35" s="46" customFormat="1" ht="30" customHeight="1">
      <c r="A92" s="975"/>
      <c r="C92" s="42"/>
      <c r="D92" s="1204" t="s">
        <v>534</v>
      </c>
      <c r="E92" s="1205"/>
      <c r="F92" s="1201" t="s">
        <v>530</v>
      </c>
      <c r="G92" s="1202"/>
      <c r="H92" s="1201" t="s">
        <v>571</v>
      </c>
      <c r="I92" s="1202"/>
      <c r="J92" s="1201" t="s">
        <v>572</v>
      </c>
      <c r="K92" s="1202"/>
      <c r="L92" s="329"/>
      <c r="M92" s="329"/>
      <c r="N92" s="329"/>
      <c r="O92" s="328" t="s">
        <v>538</v>
      </c>
      <c r="P92" s="392"/>
      <c r="Q92" s="392"/>
      <c r="R92" s="392"/>
      <c r="S92" s="392"/>
      <c r="T92" s="45"/>
      <c r="V92" s="780"/>
      <c r="W92" s="781"/>
      <c r="X92" s="1203"/>
      <c r="Y92" s="1203"/>
      <c r="Z92" s="781"/>
      <c r="AA92" s="781"/>
      <c r="AB92" s="781"/>
      <c r="AC92" s="781"/>
      <c r="AD92" s="781"/>
      <c r="AE92" s="781"/>
      <c r="AF92" s="781"/>
      <c r="AG92" s="781"/>
      <c r="AH92" s="781"/>
      <c r="AI92" s="782"/>
    </row>
    <row r="93" spans="1:35" ht="23.1" customHeight="1">
      <c r="A93" s="975"/>
      <c r="C93" s="47"/>
      <c r="D93" s="1215" t="s">
        <v>539</v>
      </c>
      <c r="E93" s="1216"/>
      <c r="F93" s="1199" t="s">
        <v>535</v>
      </c>
      <c r="G93" s="1200"/>
      <c r="H93" s="329">
        <f>ejercicio-1</f>
        <v>2021</v>
      </c>
      <c r="I93" s="329">
        <f>ejercicio</f>
        <v>2022</v>
      </c>
      <c r="J93" s="329">
        <f>ejercicio-1</f>
        <v>2021</v>
      </c>
      <c r="K93" s="329">
        <f>ejercicio</f>
        <v>2022</v>
      </c>
      <c r="L93" s="329" t="s">
        <v>542</v>
      </c>
      <c r="M93" s="329" t="s">
        <v>543</v>
      </c>
      <c r="N93" s="329" t="s">
        <v>544</v>
      </c>
      <c r="O93" s="331" t="s">
        <v>545</v>
      </c>
      <c r="P93" s="392"/>
      <c r="Q93" s="392"/>
      <c r="R93" s="392"/>
      <c r="S93" s="392"/>
      <c r="T93" s="39"/>
      <c r="V93" s="780"/>
      <c r="W93" s="781"/>
      <c r="X93" s="353">
        <f>ejercicio-1</f>
        <v>2021</v>
      </c>
      <c r="Y93" s="329">
        <f>ejercicio</f>
        <v>2022</v>
      </c>
      <c r="Z93" s="781"/>
      <c r="AA93" s="781"/>
      <c r="AB93" s="781"/>
      <c r="AC93" s="781"/>
      <c r="AD93" s="781"/>
      <c r="AE93" s="781"/>
      <c r="AF93" s="781"/>
      <c r="AG93" s="781"/>
      <c r="AH93" s="781"/>
      <c r="AI93" s="782"/>
    </row>
    <row r="94" spans="1:35" ht="23.1" customHeight="1">
      <c r="A94" s="975"/>
      <c r="C94" s="47"/>
      <c r="D94" s="376" t="s">
        <v>573</v>
      </c>
      <c r="E94" s="956"/>
      <c r="F94" s="1071" t="s">
        <v>39</v>
      </c>
      <c r="G94" s="1072"/>
      <c r="H94" s="1035">
        <v>397160.19</v>
      </c>
      <c r="I94" s="1035">
        <v>397160.19</v>
      </c>
      <c r="J94" s="1035">
        <v>397160.19</v>
      </c>
      <c r="K94" s="1035">
        <v>397160.19</v>
      </c>
      <c r="L94" s="1077">
        <v>702</v>
      </c>
      <c r="M94" s="1077">
        <v>4141</v>
      </c>
      <c r="N94" s="1077">
        <v>48203</v>
      </c>
      <c r="O94" s="906"/>
      <c r="P94" s="392"/>
      <c r="Q94" s="392"/>
      <c r="R94" s="392"/>
      <c r="S94" s="392"/>
      <c r="T94" s="39"/>
      <c r="V94" s="814" t="str">
        <f t="shared" ref="V94:V103" si="7">IF(AND((H94=J94),(I94=K94)),"","Explicar diferencia entre la aportación s/criterio Entidad y s/criterio Cabildo o AAPP")</f>
        <v/>
      </c>
      <c r="W94" s="781"/>
      <c r="X94" s="781"/>
      <c r="Y94" s="781"/>
      <c r="Z94" s="808"/>
      <c r="AA94" s="781"/>
      <c r="AB94" s="781"/>
      <c r="AC94" s="781"/>
      <c r="AD94" s="781"/>
      <c r="AE94" s="781"/>
      <c r="AF94" s="781"/>
      <c r="AG94" s="781"/>
      <c r="AH94" s="781"/>
      <c r="AI94" s="782"/>
    </row>
    <row r="95" spans="1:35" ht="23.1" customHeight="1">
      <c r="A95" s="975"/>
      <c r="C95" s="47"/>
      <c r="D95" s="633"/>
      <c r="E95" s="634"/>
      <c r="F95" s="1071"/>
      <c r="G95" s="1054"/>
      <c r="H95" s="1048"/>
      <c r="I95" s="654"/>
      <c r="J95" s="1050"/>
      <c r="K95" s="1050"/>
      <c r="L95" s="848"/>
      <c r="M95" s="848"/>
      <c r="N95" s="1082"/>
      <c r="O95" s="907"/>
      <c r="P95" s="392"/>
      <c r="Q95" s="392"/>
      <c r="R95" s="392"/>
      <c r="S95" s="392"/>
      <c r="T95" s="39"/>
      <c r="V95" s="814" t="str">
        <f t="shared" si="7"/>
        <v/>
      </c>
      <c r="W95" s="781"/>
      <c r="X95" s="781"/>
      <c r="Y95" s="781"/>
      <c r="Z95" s="808"/>
      <c r="AA95" s="781"/>
      <c r="AB95" s="781"/>
      <c r="AC95" s="781"/>
      <c r="AD95" s="781"/>
      <c r="AE95" s="781"/>
      <c r="AF95" s="781"/>
      <c r="AG95" s="781"/>
      <c r="AH95" s="781"/>
      <c r="AI95" s="782"/>
    </row>
    <row r="96" spans="1:35" ht="23.1" customHeight="1">
      <c r="A96" s="975"/>
      <c r="C96" s="47"/>
      <c r="D96" s="633"/>
      <c r="E96" s="634"/>
      <c r="F96" s="1071"/>
      <c r="G96" s="1054"/>
      <c r="H96" s="1048"/>
      <c r="I96" s="654"/>
      <c r="J96" s="1050"/>
      <c r="K96" s="1050"/>
      <c r="L96" s="848"/>
      <c r="M96" s="848"/>
      <c r="N96" s="1082"/>
      <c r="O96" s="907"/>
      <c r="P96" s="1095"/>
      <c r="Q96" s="1095"/>
      <c r="R96" s="1095"/>
      <c r="S96" s="1095"/>
      <c r="T96" s="39"/>
      <c r="V96" s="814" t="str">
        <f t="shared" si="7"/>
        <v/>
      </c>
      <c r="W96" s="781"/>
      <c r="X96" s="781"/>
      <c r="Y96" s="781"/>
      <c r="Z96" s="808"/>
      <c r="AA96" s="781"/>
      <c r="AB96" s="781"/>
      <c r="AC96" s="781"/>
      <c r="AD96" s="781"/>
      <c r="AE96" s="781"/>
      <c r="AF96" s="781"/>
      <c r="AG96" s="781"/>
      <c r="AH96" s="781"/>
      <c r="AI96" s="782"/>
    </row>
    <row r="97" spans="1:35" ht="23.1" customHeight="1">
      <c r="A97" s="975"/>
      <c r="C97" s="47"/>
      <c r="D97" s="633"/>
      <c r="E97" s="634"/>
      <c r="F97" s="1071"/>
      <c r="G97" s="1054"/>
      <c r="H97" s="1048"/>
      <c r="I97" s="654"/>
      <c r="J97" s="1050"/>
      <c r="K97" s="1050"/>
      <c r="L97" s="848"/>
      <c r="M97" s="848"/>
      <c r="N97" s="1082"/>
      <c r="O97" s="907"/>
      <c r="P97" s="1095"/>
      <c r="Q97" s="1095"/>
      <c r="R97" s="1095"/>
      <c r="S97" s="1095"/>
      <c r="T97" s="39"/>
      <c r="V97" s="814" t="str">
        <f t="shared" si="7"/>
        <v/>
      </c>
      <c r="W97" s="781"/>
      <c r="X97" s="781"/>
      <c r="Y97" s="781"/>
      <c r="Z97" s="808"/>
      <c r="AA97" s="781"/>
      <c r="AB97" s="781"/>
      <c r="AC97" s="781"/>
      <c r="AD97" s="781"/>
      <c r="AE97" s="781"/>
      <c r="AF97" s="781"/>
      <c r="AG97" s="781"/>
      <c r="AH97" s="781"/>
      <c r="AI97" s="782"/>
    </row>
    <row r="98" spans="1:35" ht="23.1" customHeight="1">
      <c r="A98" s="975"/>
      <c r="C98" s="47"/>
      <c r="D98" s="633"/>
      <c r="E98" s="634"/>
      <c r="F98" s="1071"/>
      <c r="G98" s="1054"/>
      <c r="H98" s="1038"/>
      <c r="I98" s="711"/>
      <c r="J98" s="1054"/>
      <c r="K98" s="1054"/>
      <c r="L98" s="849"/>
      <c r="M98" s="849"/>
      <c r="N98" s="1085"/>
      <c r="O98" s="907"/>
      <c r="P98" s="1095"/>
      <c r="Q98" s="1095"/>
      <c r="R98" s="1095"/>
      <c r="S98" s="1095"/>
      <c r="T98" s="39"/>
      <c r="V98" s="814" t="str">
        <f t="shared" si="7"/>
        <v/>
      </c>
      <c r="W98" s="781"/>
      <c r="X98" s="781"/>
      <c r="Y98" s="781"/>
      <c r="Z98" s="808"/>
      <c r="AA98" s="781"/>
      <c r="AB98" s="781"/>
      <c r="AC98" s="781"/>
      <c r="AD98" s="781"/>
      <c r="AE98" s="781"/>
      <c r="AF98" s="781"/>
      <c r="AG98" s="781"/>
      <c r="AH98" s="781"/>
      <c r="AI98" s="782"/>
    </row>
    <row r="99" spans="1:35" ht="23.1" customHeight="1">
      <c r="A99" s="975"/>
      <c r="C99" s="47"/>
      <c r="D99" s="633"/>
      <c r="E99" s="634"/>
      <c r="F99" s="1071"/>
      <c r="G99" s="1054"/>
      <c r="H99" s="1038"/>
      <c r="I99" s="711"/>
      <c r="J99" s="1054"/>
      <c r="K99" s="1054"/>
      <c r="L99" s="849"/>
      <c r="M99" s="849"/>
      <c r="N99" s="1085"/>
      <c r="O99" s="910"/>
      <c r="P99" s="1095"/>
      <c r="Q99" s="1095"/>
      <c r="R99" s="1095"/>
      <c r="S99" s="1095"/>
      <c r="T99" s="39"/>
      <c r="V99" s="814" t="str">
        <f t="shared" si="7"/>
        <v/>
      </c>
      <c r="W99" s="781"/>
      <c r="X99" s="781"/>
      <c r="Y99" s="781"/>
      <c r="Z99" s="808"/>
      <c r="AA99" s="781"/>
      <c r="AB99" s="781"/>
      <c r="AC99" s="781"/>
      <c r="AD99" s="781"/>
      <c r="AE99" s="781"/>
      <c r="AF99" s="781"/>
      <c r="AG99" s="781"/>
      <c r="AH99" s="781"/>
      <c r="AI99" s="782"/>
    </row>
    <row r="100" spans="1:35" ht="23.1" customHeight="1">
      <c r="A100" s="975"/>
      <c r="C100" s="47"/>
      <c r="D100" s="633"/>
      <c r="E100" s="634"/>
      <c r="F100" s="1071"/>
      <c r="G100" s="1054"/>
      <c r="H100" s="1038"/>
      <c r="I100" s="711"/>
      <c r="J100" s="1054"/>
      <c r="K100" s="1054"/>
      <c r="L100" s="849"/>
      <c r="M100" s="849"/>
      <c r="N100" s="1085"/>
      <c r="O100" s="910"/>
      <c r="P100" s="1095"/>
      <c r="Q100" s="1095"/>
      <c r="R100" s="1095"/>
      <c r="S100" s="1095"/>
      <c r="T100" s="39"/>
      <c r="V100" s="814" t="str">
        <f t="shared" si="7"/>
        <v/>
      </c>
      <c r="W100" s="781"/>
      <c r="X100" s="781"/>
      <c r="Y100" s="781"/>
      <c r="Z100" s="808"/>
      <c r="AA100" s="781"/>
      <c r="AB100" s="781"/>
      <c r="AC100" s="781"/>
      <c r="AD100" s="781"/>
      <c r="AE100" s="781"/>
      <c r="AF100" s="781"/>
      <c r="AG100" s="781"/>
      <c r="AH100" s="781"/>
      <c r="AI100" s="782"/>
    </row>
    <row r="101" spans="1:35" ht="23.1" customHeight="1">
      <c r="A101" s="975"/>
      <c r="C101" s="47"/>
      <c r="D101" s="633"/>
      <c r="E101" s="634"/>
      <c r="F101" s="1071"/>
      <c r="G101" s="1054"/>
      <c r="H101" s="1056"/>
      <c r="I101" s="716"/>
      <c r="J101" s="1058"/>
      <c r="K101" s="1058"/>
      <c r="L101" s="850"/>
      <c r="M101" s="850"/>
      <c r="N101" s="1088"/>
      <c r="O101" s="910"/>
      <c r="P101" s="1095"/>
      <c r="Q101" s="1095"/>
      <c r="R101" s="1095"/>
      <c r="S101" s="1095"/>
      <c r="T101" s="39"/>
      <c r="V101" s="814" t="str">
        <f t="shared" si="7"/>
        <v/>
      </c>
      <c r="W101" s="781"/>
      <c r="X101" s="781"/>
      <c r="Y101" s="781"/>
      <c r="Z101" s="808"/>
      <c r="AA101" s="781"/>
      <c r="AB101" s="781"/>
      <c r="AC101" s="781"/>
      <c r="AD101" s="781"/>
      <c r="AE101" s="781"/>
      <c r="AF101" s="781"/>
      <c r="AG101" s="781"/>
      <c r="AH101" s="781"/>
      <c r="AI101" s="782"/>
    </row>
    <row r="102" spans="1:35" ht="23.1" customHeight="1">
      <c r="A102" s="975"/>
      <c r="C102" s="47"/>
      <c r="D102" s="633"/>
      <c r="E102" s="634"/>
      <c r="F102" s="1071"/>
      <c r="G102" s="1054"/>
      <c r="H102" s="1056"/>
      <c r="I102" s="716"/>
      <c r="J102" s="1058"/>
      <c r="K102" s="1058"/>
      <c r="L102" s="850"/>
      <c r="M102" s="850"/>
      <c r="N102" s="1088"/>
      <c r="O102" s="911"/>
      <c r="P102" s="1095"/>
      <c r="Q102" s="1095"/>
      <c r="R102" s="1095"/>
      <c r="S102" s="1095"/>
      <c r="T102" s="39"/>
      <c r="V102" s="814" t="str">
        <f t="shared" si="7"/>
        <v/>
      </c>
      <c r="W102" s="781"/>
      <c r="X102" s="781"/>
      <c r="Y102" s="781"/>
      <c r="Z102" s="808"/>
      <c r="AA102" s="781"/>
      <c r="AB102" s="781"/>
      <c r="AC102" s="781"/>
      <c r="AD102" s="781"/>
      <c r="AE102" s="781"/>
      <c r="AF102" s="781"/>
      <c r="AG102" s="781"/>
      <c r="AH102" s="781"/>
      <c r="AI102" s="782"/>
    </row>
    <row r="103" spans="1:35" ht="23.1" customHeight="1">
      <c r="A103" s="975"/>
      <c r="C103" s="47"/>
      <c r="D103" s="636"/>
      <c r="E103" s="637"/>
      <c r="F103" s="1071"/>
      <c r="G103" s="1063"/>
      <c r="H103" s="1040"/>
      <c r="I103" s="721"/>
      <c r="J103" s="1063"/>
      <c r="K103" s="1063"/>
      <c r="L103" s="851"/>
      <c r="M103" s="851"/>
      <c r="N103" s="1097"/>
      <c r="O103" s="1097"/>
      <c r="P103" s="1095"/>
      <c r="Q103" s="1095"/>
      <c r="R103" s="1095"/>
      <c r="S103" s="1095"/>
      <c r="T103" s="39"/>
      <c r="V103" s="814" t="str">
        <f t="shared" si="7"/>
        <v/>
      </c>
      <c r="W103" s="781"/>
      <c r="X103" s="781"/>
      <c r="Y103" s="781"/>
      <c r="Z103" s="808"/>
      <c r="AA103" s="781"/>
      <c r="AB103" s="781"/>
      <c r="AC103" s="781"/>
      <c r="AD103" s="781"/>
      <c r="AE103" s="781"/>
      <c r="AF103" s="781"/>
      <c r="AG103" s="781"/>
      <c r="AH103" s="781"/>
      <c r="AI103" s="782"/>
    </row>
    <row r="104" spans="1:35" ht="23.1" customHeight="1" thickBot="1">
      <c r="A104" s="975"/>
      <c r="C104" s="47"/>
      <c r="D104" s="1219" t="s">
        <v>546</v>
      </c>
      <c r="E104" s="1220"/>
      <c r="F104" s="1220"/>
      <c r="G104" s="1221"/>
      <c r="H104" s="70">
        <f>SUM(H94:H103)</f>
        <v>397160.19</v>
      </c>
      <c r="I104" s="70">
        <f>SUM(I94:I103)</f>
        <v>397160.19</v>
      </c>
      <c r="J104" s="70">
        <f t="shared" ref="J104:K104" si="8">SUM(J94:J103)</f>
        <v>397160.19</v>
      </c>
      <c r="K104" s="70">
        <f t="shared" si="8"/>
        <v>397160.19</v>
      </c>
      <c r="L104" s="97"/>
      <c r="M104" s="59"/>
      <c r="N104" s="59"/>
      <c r="O104" s="59"/>
      <c r="P104" s="59"/>
      <c r="Q104" s="59"/>
      <c r="R104" s="59"/>
      <c r="S104" s="59"/>
      <c r="T104" s="39"/>
      <c r="V104" s="780"/>
      <c r="W104" s="781"/>
      <c r="X104" s="781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2"/>
    </row>
    <row r="105" spans="1:35" ht="23.1" customHeight="1">
      <c r="A105" s="975"/>
      <c r="C105" s="47"/>
      <c r="D105" s="632"/>
      <c r="E105" s="632"/>
      <c r="F105" s="99"/>
      <c r="G105" s="644" t="s">
        <v>574</v>
      </c>
      <c r="H105" s="99">
        <f>SUMIF(F94:F103,"Cabildo Insular de Tenerife",H94:H103)</f>
        <v>397160.19</v>
      </c>
      <c r="I105" s="99">
        <f>SUMIF(F94:F103,"Cabildo Insular de Tenerife",I94:I103)</f>
        <v>397160.19</v>
      </c>
      <c r="J105" s="99">
        <f>SUMIF(F94:F103,"Cabildo Insular de Tenerife",J94:J103)</f>
        <v>397160.19</v>
      </c>
      <c r="K105" s="99">
        <f>SUMIF(F94:F103,"Cabildo Insular de Tenerife",K94:K103)</f>
        <v>397160.19</v>
      </c>
      <c r="L105" s="99"/>
      <c r="M105" s="99"/>
      <c r="N105" s="392"/>
      <c r="O105" s="392"/>
      <c r="P105" s="392"/>
      <c r="Q105" s="392"/>
      <c r="R105" s="392"/>
      <c r="S105" s="392"/>
      <c r="T105" s="39"/>
      <c r="V105" s="780"/>
      <c r="W105" s="781"/>
      <c r="X105" s="781"/>
      <c r="Y105" s="781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2"/>
    </row>
    <row r="106" spans="1:35" ht="23.1" customHeight="1">
      <c r="A106" s="975"/>
      <c r="C106" s="47"/>
      <c r="D106" s="632"/>
      <c r="E106" s="632"/>
      <c r="F106" s="99"/>
      <c r="G106" s="644"/>
      <c r="H106" s="99"/>
      <c r="I106" s="99"/>
      <c r="J106" s="99"/>
      <c r="K106" s="99"/>
      <c r="L106" s="99"/>
      <c r="M106" s="99"/>
      <c r="N106" s="392"/>
      <c r="O106" s="392"/>
      <c r="P106" s="392"/>
      <c r="Q106" s="392"/>
      <c r="R106" s="392"/>
      <c r="S106" s="392"/>
      <c r="T106" s="39"/>
      <c r="V106" s="780"/>
      <c r="W106" s="781"/>
      <c r="X106" s="781"/>
      <c r="Y106" s="781"/>
      <c r="Z106" s="781"/>
      <c r="AA106" s="781"/>
      <c r="AB106" s="781"/>
      <c r="AC106" s="781"/>
      <c r="AD106" s="781"/>
      <c r="AE106" s="781"/>
      <c r="AF106" s="781"/>
      <c r="AG106" s="781"/>
      <c r="AH106" s="781"/>
      <c r="AI106" s="782"/>
    </row>
    <row r="107" spans="1:35" s="46" customFormat="1" ht="30" customHeight="1">
      <c r="A107" s="975"/>
      <c r="C107" s="42"/>
      <c r="D107" s="28" t="s">
        <v>575</v>
      </c>
      <c r="E107" s="8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45"/>
      <c r="V107" s="780"/>
      <c r="W107" s="781"/>
      <c r="X107" s="781"/>
      <c r="Y107" s="781"/>
      <c r="Z107" s="781"/>
      <c r="AA107" s="781"/>
      <c r="AB107" s="781"/>
      <c r="AC107" s="781"/>
      <c r="AD107" s="781"/>
      <c r="AE107" s="781"/>
      <c r="AF107" s="781"/>
      <c r="AG107" s="781"/>
      <c r="AH107" s="781"/>
      <c r="AI107" s="782"/>
    </row>
    <row r="108" spans="1:35" ht="36.950000000000003" customHeight="1">
      <c r="A108" s="975"/>
      <c r="C108" s="47"/>
      <c r="D108" s="1184" t="s">
        <v>534</v>
      </c>
      <c r="E108" s="1186"/>
      <c r="F108" s="1201" t="s">
        <v>530</v>
      </c>
      <c r="G108" s="1202"/>
      <c r="H108" s="329">
        <f>ejercicio-1</f>
        <v>2021</v>
      </c>
      <c r="I108" s="329">
        <f>ejercicio</f>
        <v>2022</v>
      </c>
      <c r="J108" s="329" t="s">
        <v>542</v>
      </c>
      <c r="K108" s="329" t="s">
        <v>543</v>
      </c>
      <c r="L108" s="329" t="s">
        <v>544</v>
      </c>
      <c r="M108" s="329" t="s">
        <v>576</v>
      </c>
      <c r="N108" s="32"/>
      <c r="O108" s="32"/>
      <c r="P108" s="32"/>
      <c r="Q108" s="32"/>
      <c r="R108" s="32"/>
      <c r="S108" s="32"/>
      <c r="T108" s="39"/>
      <c r="V108" s="780"/>
      <c r="W108" s="781"/>
      <c r="X108" s="781"/>
      <c r="Y108" s="781"/>
      <c r="Z108" s="781"/>
      <c r="AA108" s="781"/>
      <c r="AB108" s="781"/>
      <c r="AC108" s="781"/>
      <c r="AD108" s="781"/>
      <c r="AE108" s="781"/>
      <c r="AF108" s="781"/>
      <c r="AG108" s="781"/>
      <c r="AH108" s="781"/>
      <c r="AI108" s="782"/>
    </row>
    <row r="109" spans="1:35" ht="23.1" customHeight="1">
      <c r="A109" s="975"/>
      <c r="C109" s="47"/>
      <c r="D109" s="376"/>
      <c r="E109" s="956"/>
      <c r="F109" s="1225"/>
      <c r="G109" s="1226"/>
      <c r="H109" s="1035"/>
      <c r="I109" s="991"/>
      <c r="J109" s="847"/>
      <c r="K109" s="847"/>
      <c r="L109" s="1077"/>
      <c r="M109" s="906"/>
      <c r="N109" s="32"/>
      <c r="O109" s="32"/>
      <c r="P109" s="32"/>
      <c r="Q109" s="32"/>
      <c r="R109" s="32"/>
      <c r="S109" s="32"/>
      <c r="T109" s="39"/>
      <c r="V109" s="780"/>
      <c r="W109" s="781"/>
      <c r="X109" s="781"/>
      <c r="Y109" s="781"/>
      <c r="Z109" s="781"/>
      <c r="AA109" s="781"/>
      <c r="AB109" s="781"/>
      <c r="AC109" s="781"/>
      <c r="AD109" s="781"/>
      <c r="AE109" s="781"/>
      <c r="AF109" s="781"/>
      <c r="AG109" s="781"/>
      <c r="AH109" s="781"/>
      <c r="AI109" s="782"/>
    </row>
    <row r="110" spans="1:35" ht="23.1" customHeight="1">
      <c r="A110" s="975"/>
      <c r="C110" s="47"/>
      <c r="D110" s="633"/>
      <c r="E110" s="634"/>
      <c r="F110" s="1225"/>
      <c r="G110" s="1226"/>
      <c r="H110" s="1048"/>
      <c r="I110" s="654"/>
      <c r="J110" s="848"/>
      <c r="K110" s="848"/>
      <c r="L110" s="1082"/>
      <c r="M110" s="907"/>
      <c r="N110" s="32"/>
      <c r="O110" s="32"/>
      <c r="P110" s="32"/>
      <c r="Q110" s="32"/>
      <c r="R110" s="32"/>
      <c r="S110" s="32"/>
      <c r="T110" s="39"/>
      <c r="V110" s="780"/>
      <c r="W110" s="781"/>
      <c r="X110" s="781"/>
      <c r="Y110" s="781"/>
      <c r="Z110" s="781"/>
      <c r="AA110" s="781"/>
      <c r="AB110" s="781"/>
      <c r="AC110" s="781"/>
      <c r="AD110" s="781"/>
      <c r="AE110" s="781"/>
      <c r="AF110" s="781"/>
      <c r="AG110" s="781"/>
      <c r="AH110" s="781"/>
      <c r="AI110" s="782"/>
    </row>
    <row r="111" spans="1:35" ht="23.1" customHeight="1">
      <c r="A111" s="975"/>
      <c r="C111" s="47"/>
      <c r="D111" s="633"/>
      <c r="E111" s="634"/>
      <c r="F111" s="1225"/>
      <c r="G111" s="1226"/>
      <c r="H111" s="1048"/>
      <c r="I111" s="654"/>
      <c r="J111" s="848"/>
      <c r="K111" s="848"/>
      <c r="L111" s="1082"/>
      <c r="M111" s="907"/>
      <c r="N111" s="32"/>
      <c r="O111" s="32"/>
      <c r="P111" s="32"/>
      <c r="Q111" s="32"/>
      <c r="R111" s="32"/>
      <c r="S111" s="32"/>
      <c r="T111" s="39"/>
      <c r="V111" s="780"/>
      <c r="W111" s="781"/>
      <c r="X111" s="781"/>
      <c r="Y111" s="781"/>
      <c r="Z111" s="1136"/>
      <c r="AA111" s="781"/>
      <c r="AB111" s="781"/>
      <c r="AC111" s="781"/>
      <c r="AD111" s="781"/>
      <c r="AE111" s="781"/>
      <c r="AF111" s="781"/>
      <c r="AG111" s="781"/>
      <c r="AH111" s="781"/>
      <c r="AI111" s="782"/>
    </row>
    <row r="112" spans="1:35" ht="23.1" customHeight="1">
      <c r="A112" s="975"/>
      <c r="C112" s="47"/>
      <c r="D112" s="633"/>
      <c r="E112" s="634"/>
      <c r="F112" s="1225"/>
      <c r="G112" s="1226"/>
      <c r="H112" s="1048"/>
      <c r="I112" s="654"/>
      <c r="J112" s="848"/>
      <c r="K112" s="848"/>
      <c r="L112" s="1082"/>
      <c r="M112" s="907"/>
      <c r="N112" s="32"/>
      <c r="O112" s="32"/>
      <c r="P112" s="32"/>
      <c r="Q112" s="32"/>
      <c r="R112" s="32"/>
      <c r="S112" s="32"/>
      <c r="T112" s="39"/>
      <c r="V112" s="780"/>
      <c r="W112" s="781"/>
      <c r="X112" s="781"/>
      <c r="Y112" s="781"/>
      <c r="Z112" s="781"/>
      <c r="AA112" s="781"/>
      <c r="AB112" s="781"/>
      <c r="AC112" s="781"/>
      <c r="AD112" s="781"/>
      <c r="AE112" s="781"/>
      <c r="AF112" s="781"/>
      <c r="AG112" s="781"/>
      <c r="AH112" s="781"/>
      <c r="AI112" s="782"/>
    </row>
    <row r="113" spans="1:35" ht="23.1" customHeight="1">
      <c r="A113" s="975"/>
      <c r="C113" s="47"/>
      <c r="D113" s="633"/>
      <c r="E113" s="634"/>
      <c r="F113" s="1225"/>
      <c r="G113" s="1226"/>
      <c r="H113" s="1038"/>
      <c r="I113" s="711"/>
      <c r="J113" s="849"/>
      <c r="K113" s="849"/>
      <c r="L113" s="1085"/>
      <c r="M113" s="910"/>
      <c r="N113" s="32"/>
      <c r="O113" s="32"/>
      <c r="P113" s="32"/>
      <c r="Q113" s="32"/>
      <c r="R113" s="32"/>
      <c r="S113" s="32"/>
      <c r="T113" s="39"/>
      <c r="V113" s="780"/>
      <c r="W113" s="781"/>
      <c r="X113" s="781"/>
      <c r="Y113" s="781"/>
      <c r="Z113" s="781"/>
      <c r="AA113" s="781"/>
      <c r="AB113" s="781"/>
      <c r="AC113" s="781"/>
      <c r="AD113" s="781"/>
      <c r="AE113" s="781"/>
      <c r="AF113" s="781"/>
      <c r="AG113" s="781"/>
      <c r="AH113" s="781"/>
      <c r="AI113" s="782"/>
    </row>
    <row r="114" spans="1:35" ht="23.1" customHeight="1">
      <c r="A114" s="975"/>
      <c r="C114" s="47"/>
      <c r="D114" s="633"/>
      <c r="E114" s="634"/>
      <c r="F114" s="1225"/>
      <c r="G114" s="1226"/>
      <c r="H114" s="1038"/>
      <c r="I114" s="711"/>
      <c r="J114" s="849"/>
      <c r="K114" s="849"/>
      <c r="L114" s="1085"/>
      <c r="M114" s="910"/>
      <c r="N114" s="32"/>
      <c r="O114" s="32"/>
      <c r="P114" s="32"/>
      <c r="Q114" s="32"/>
      <c r="R114" s="32"/>
      <c r="S114" s="32"/>
      <c r="T114" s="39"/>
      <c r="V114" s="780"/>
      <c r="W114" s="781"/>
      <c r="X114" s="781"/>
      <c r="Y114" s="781"/>
      <c r="Z114" s="781"/>
      <c r="AA114" s="781"/>
      <c r="AB114" s="781"/>
      <c r="AC114" s="781"/>
      <c r="AD114" s="781"/>
      <c r="AE114" s="781"/>
      <c r="AF114" s="781"/>
      <c r="AG114" s="781"/>
      <c r="AH114" s="781"/>
      <c r="AI114" s="782"/>
    </row>
    <row r="115" spans="1:35" ht="23.1" customHeight="1">
      <c r="A115" s="975"/>
      <c r="C115" s="47"/>
      <c r="D115" s="633"/>
      <c r="E115" s="634"/>
      <c r="F115" s="1225"/>
      <c r="G115" s="1226"/>
      <c r="H115" s="1038"/>
      <c r="I115" s="711"/>
      <c r="J115" s="849"/>
      <c r="K115" s="849"/>
      <c r="L115" s="1085"/>
      <c r="M115" s="910"/>
      <c r="N115" s="32"/>
      <c r="O115" s="32"/>
      <c r="P115" s="32"/>
      <c r="Q115" s="32"/>
      <c r="R115" s="32"/>
      <c r="S115" s="32"/>
      <c r="T115" s="39"/>
      <c r="V115" s="780"/>
      <c r="W115" s="781"/>
      <c r="X115" s="781"/>
      <c r="Y115" s="781"/>
      <c r="Z115" s="781"/>
      <c r="AA115" s="781"/>
      <c r="AB115" s="781"/>
      <c r="AC115" s="781"/>
      <c r="AD115" s="781"/>
      <c r="AE115" s="781"/>
      <c r="AF115" s="781"/>
      <c r="AG115" s="781"/>
      <c r="AH115" s="781"/>
      <c r="AI115" s="782"/>
    </row>
    <row r="116" spans="1:35" ht="23.1" customHeight="1">
      <c r="A116" s="975"/>
      <c r="C116" s="47"/>
      <c r="D116" s="633"/>
      <c r="E116" s="634"/>
      <c r="F116" s="1225"/>
      <c r="G116" s="1226"/>
      <c r="H116" s="1056"/>
      <c r="I116" s="716"/>
      <c r="J116" s="850"/>
      <c r="K116" s="850"/>
      <c r="L116" s="1088"/>
      <c r="M116" s="911"/>
      <c r="N116" s="32"/>
      <c r="O116" s="32"/>
      <c r="P116" s="32"/>
      <c r="Q116" s="32"/>
      <c r="R116" s="32"/>
      <c r="S116" s="32"/>
      <c r="T116" s="39"/>
      <c r="V116" s="780"/>
      <c r="W116" s="781"/>
      <c r="X116" s="781"/>
      <c r="Y116" s="781"/>
      <c r="Z116" s="781"/>
      <c r="AA116" s="781"/>
      <c r="AB116" s="781"/>
      <c r="AC116" s="781"/>
      <c r="AD116" s="781"/>
      <c r="AE116" s="781"/>
      <c r="AF116" s="781"/>
      <c r="AG116" s="781"/>
      <c r="AH116" s="781"/>
      <c r="AI116" s="782"/>
    </row>
    <row r="117" spans="1:35" ht="23.1" customHeight="1">
      <c r="A117" s="975"/>
      <c r="C117" s="47"/>
      <c r="D117" s="633"/>
      <c r="E117" s="634"/>
      <c r="F117" s="1225"/>
      <c r="G117" s="1226"/>
      <c r="H117" s="1056"/>
      <c r="I117" s="716"/>
      <c r="J117" s="850"/>
      <c r="K117" s="850"/>
      <c r="L117" s="1088"/>
      <c r="M117" s="911"/>
      <c r="N117" s="32"/>
      <c r="O117" s="32"/>
      <c r="P117" s="32"/>
      <c r="Q117" s="32"/>
      <c r="R117" s="32"/>
      <c r="S117" s="32"/>
      <c r="T117" s="39"/>
      <c r="V117" s="780"/>
      <c r="W117" s="781"/>
      <c r="X117" s="781"/>
      <c r="Y117" s="781"/>
      <c r="Z117" s="781"/>
      <c r="AA117" s="781"/>
      <c r="AB117" s="781"/>
      <c r="AC117" s="781"/>
      <c r="AD117" s="781"/>
      <c r="AE117" s="781"/>
      <c r="AF117" s="781"/>
      <c r="AG117" s="781"/>
      <c r="AH117" s="781"/>
      <c r="AI117" s="782"/>
    </row>
    <row r="118" spans="1:35" ht="23.1" customHeight="1">
      <c r="A118" s="975"/>
      <c r="C118" s="47"/>
      <c r="D118" s="636"/>
      <c r="E118" s="637"/>
      <c r="F118" s="1225"/>
      <c r="G118" s="1226"/>
      <c r="H118" s="1040"/>
      <c r="I118" s="721"/>
      <c r="J118" s="851"/>
      <c r="K118" s="851"/>
      <c r="L118" s="1097"/>
      <c r="M118" s="909"/>
      <c r="N118" s="32"/>
      <c r="O118" s="32"/>
      <c r="P118" s="32"/>
      <c r="Q118" s="32"/>
      <c r="R118" s="32"/>
      <c r="S118" s="32"/>
      <c r="T118" s="39"/>
      <c r="V118" s="780"/>
      <c r="W118" s="781"/>
      <c r="X118" s="781"/>
      <c r="Y118" s="781"/>
      <c r="Z118" s="781"/>
      <c r="AA118" s="781"/>
      <c r="AB118" s="781"/>
      <c r="AC118" s="781"/>
      <c r="AD118" s="781"/>
      <c r="AE118" s="781"/>
      <c r="AF118" s="781"/>
      <c r="AG118" s="781"/>
      <c r="AH118" s="781"/>
      <c r="AI118" s="782"/>
    </row>
    <row r="119" spans="1:35" ht="23.1" customHeight="1" thickBot="1">
      <c r="A119" s="975"/>
      <c r="C119" s="47"/>
      <c r="D119" s="1219" t="s">
        <v>577</v>
      </c>
      <c r="E119" s="1220"/>
      <c r="F119" s="1220"/>
      <c r="G119" s="1221"/>
      <c r="H119" s="70">
        <f>SUM(H109:H118)</f>
        <v>0</v>
      </c>
      <c r="I119" s="70">
        <f>SUM(I109:I118)</f>
        <v>0</v>
      </c>
      <c r="J119" s="31"/>
      <c r="K119" s="31"/>
      <c r="L119" s="67"/>
      <c r="M119" s="59"/>
      <c r="N119" s="59"/>
      <c r="O119" s="59"/>
      <c r="P119" s="59"/>
      <c r="Q119" s="59"/>
      <c r="R119" s="59"/>
      <c r="S119" s="59"/>
      <c r="T119" s="39"/>
      <c r="V119" s="780"/>
      <c r="W119" s="781"/>
      <c r="X119" s="781"/>
      <c r="Y119" s="781"/>
      <c r="Z119" s="781"/>
      <c r="AA119" s="781"/>
      <c r="AB119" s="781"/>
      <c r="AC119" s="781"/>
      <c r="AD119" s="781"/>
      <c r="AE119" s="781"/>
      <c r="AF119" s="781"/>
      <c r="AG119" s="781"/>
      <c r="AH119" s="781"/>
      <c r="AI119" s="782"/>
    </row>
    <row r="120" spans="1:35" ht="23.1" customHeight="1">
      <c r="A120" s="975"/>
      <c r="C120" s="47"/>
      <c r="D120" s="632"/>
      <c r="E120" s="632"/>
      <c r="F120" s="99"/>
      <c r="G120" s="99"/>
      <c r="H120" s="458"/>
      <c r="I120" s="458"/>
      <c r="J120" s="458"/>
      <c r="K120" s="458"/>
      <c r="L120" s="458"/>
      <c r="M120" s="31"/>
      <c r="N120" s="31"/>
      <c r="O120" s="67"/>
      <c r="P120" s="99"/>
      <c r="Q120" s="392"/>
      <c r="R120" s="392"/>
      <c r="S120" s="392"/>
      <c r="T120" s="39"/>
      <c r="V120" s="780"/>
      <c r="W120" s="781"/>
      <c r="X120" s="781"/>
      <c r="Y120" s="781"/>
      <c r="Z120" s="781"/>
      <c r="AA120" s="781"/>
      <c r="AB120" s="781"/>
      <c r="AC120" s="781"/>
      <c r="AD120" s="781"/>
      <c r="AE120" s="781"/>
      <c r="AF120" s="781"/>
      <c r="AG120" s="781"/>
      <c r="AH120" s="781"/>
      <c r="AI120" s="782"/>
    </row>
    <row r="121" spans="1:35" ht="23.1" customHeight="1">
      <c r="A121" s="975"/>
      <c r="C121" s="47"/>
      <c r="D121" s="68" t="s">
        <v>578</v>
      </c>
      <c r="E121" s="66"/>
      <c r="F121" s="67"/>
      <c r="G121" s="67"/>
      <c r="H121" s="67"/>
      <c r="I121" s="67"/>
      <c r="J121" s="67"/>
      <c r="K121" s="67"/>
      <c r="L121" s="67"/>
      <c r="M121" s="31"/>
      <c r="N121" s="31"/>
      <c r="O121" s="67"/>
      <c r="P121" s="67"/>
      <c r="Q121" s="31"/>
      <c r="R121" s="31"/>
      <c r="S121" s="31"/>
      <c r="T121" s="39"/>
      <c r="V121" s="780"/>
      <c r="W121" s="781"/>
      <c r="X121" s="781"/>
      <c r="Y121" s="781"/>
      <c r="Z121" s="781"/>
      <c r="AA121" s="781"/>
      <c r="AB121" s="781"/>
      <c r="AC121" s="781"/>
      <c r="AD121" s="781"/>
      <c r="AE121" s="781"/>
      <c r="AF121" s="781"/>
      <c r="AG121" s="781"/>
      <c r="AH121" s="781"/>
      <c r="AI121" s="782"/>
    </row>
    <row r="122" spans="1:35" ht="18">
      <c r="A122" s="975"/>
      <c r="C122" s="47"/>
      <c r="D122" s="320"/>
      <c r="E122" s="320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2"/>
      <c r="R122" s="334"/>
      <c r="S122" s="334"/>
      <c r="T122" s="39"/>
      <c r="V122" s="780"/>
      <c r="W122" s="781"/>
      <c r="X122" s="781"/>
      <c r="Y122" s="781"/>
      <c r="Z122" s="781"/>
      <c r="AA122" s="781"/>
      <c r="AB122" s="781"/>
      <c r="AC122" s="781"/>
      <c r="AD122" s="781"/>
      <c r="AE122" s="781"/>
      <c r="AF122" s="781"/>
      <c r="AG122" s="781"/>
      <c r="AH122" s="781"/>
      <c r="AI122" s="782"/>
    </row>
    <row r="123" spans="1:35" ht="18">
      <c r="A123" s="975"/>
      <c r="C123" s="47"/>
      <c r="D123" s="323"/>
      <c r="E123" s="323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5"/>
      <c r="R123" s="334"/>
      <c r="S123" s="334"/>
      <c r="T123" s="39"/>
      <c r="V123" s="780"/>
      <c r="W123" s="781"/>
      <c r="X123" s="781"/>
      <c r="Y123" s="781"/>
      <c r="Z123" s="781"/>
      <c r="AA123" s="781"/>
      <c r="AB123" s="781"/>
      <c r="AC123" s="781"/>
      <c r="AD123" s="781"/>
      <c r="AE123" s="781"/>
      <c r="AF123" s="781"/>
      <c r="AG123" s="781"/>
      <c r="AH123" s="781"/>
      <c r="AI123" s="782"/>
    </row>
    <row r="124" spans="1:35" ht="18">
      <c r="A124" s="975"/>
      <c r="C124" s="47"/>
      <c r="D124" s="323"/>
      <c r="E124" s="323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5"/>
      <c r="R124" s="334"/>
      <c r="S124" s="334"/>
      <c r="T124" s="39"/>
      <c r="V124" s="780"/>
      <c r="W124" s="781"/>
      <c r="X124" s="781"/>
      <c r="Y124" s="781"/>
      <c r="Z124" s="781"/>
      <c r="AA124" s="781"/>
      <c r="AB124" s="781"/>
      <c r="AC124" s="781"/>
      <c r="AD124" s="781"/>
      <c r="AE124" s="781"/>
      <c r="AF124" s="781"/>
      <c r="AG124" s="781"/>
      <c r="AH124" s="781"/>
      <c r="AI124" s="782"/>
    </row>
    <row r="125" spans="1:35" ht="18">
      <c r="A125" s="975"/>
      <c r="C125" s="47"/>
      <c r="D125" s="323"/>
      <c r="E125" s="323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5"/>
      <c r="R125" s="334"/>
      <c r="S125" s="334"/>
      <c r="T125" s="39"/>
      <c r="V125" s="780"/>
      <c r="W125" s="781"/>
      <c r="X125" s="781"/>
      <c r="Y125" s="781"/>
      <c r="Z125" s="781"/>
      <c r="AA125" s="781"/>
      <c r="AB125" s="781"/>
      <c r="AC125" s="781"/>
      <c r="AD125" s="781"/>
      <c r="AE125" s="781"/>
      <c r="AF125" s="781"/>
      <c r="AG125" s="781"/>
      <c r="AH125" s="781"/>
      <c r="AI125" s="782"/>
    </row>
    <row r="126" spans="1:35" ht="18">
      <c r="A126" s="975"/>
      <c r="C126" s="47"/>
      <c r="D126" s="323"/>
      <c r="E126" s="323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5"/>
      <c r="R126" s="334"/>
      <c r="S126" s="334"/>
      <c r="T126" s="39"/>
      <c r="V126" s="780"/>
      <c r="W126" s="781"/>
      <c r="X126" s="781"/>
      <c r="Y126" s="781"/>
      <c r="Z126" s="781"/>
      <c r="AA126" s="781"/>
      <c r="AB126" s="781"/>
      <c r="AC126" s="781"/>
      <c r="AD126" s="781"/>
      <c r="AE126" s="781"/>
      <c r="AF126" s="781"/>
      <c r="AG126" s="781"/>
      <c r="AH126" s="781"/>
      <c r="AI126" s="782"/>
    </row>
    <row r="127" spans="1:35" ht="18">
      <c r="A127" s="975"/>
      <c r="C127" s="47"/>
      <c r="D127" s="323"/>
      <c r="E127" s="323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5"/>
      <c r="R127" s="334"/>
      <c r="S127" s="334"/>
      <c r="T127" s="39"/>
      <c r="V127" s="780"/>
      <c r="W127" s="781"/>
      <c r="X127" s="781"/>
      <c r="Y127" s="781"/>
      <c r="Z127" s="781"/>
      <c r="AA127" s="781"/>
      <c r="AB127" s="781"/>
      <c r="AC127" s="781"/>
      <c r="AD127" s="781"/>
      <c r="AE127" s="781"/>
      <c r="AF127" s="781"/>
      <c r="AG127" s="781"/>
      <c r="AH127" s="781"/>
      <c r="AI127" s="782"/>
    </row>
    <row r="128" spans="1:35" ht="18">
      <c r="A128" s="975"/>
      <c r="C128" s="47"/>
      <c r="D128" s="323"/>
      <c r="E128" s="323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5"/>
      <c r="R128" s="334"/>
      <c r="S128" s="334"/>
      <c r="T128" s="39"/>
      <c r="V128" s="780"/>
      <c r="W128" s="781"/>
      <c r="X128" s="781"/>
      <c r="Y128" s="781"/>
      <c r="Z128" s="781"/>
      <c r="AA128" s="781"/>
      <c r="AB128" s="781"/>
      <c r="AC128" s="781"/>
      <c r="AD128" s="781"/>
      <c r="AE128" s="781"/>
      <c r="AF128" s="781"/>
      <c r="AG128" s="781"/>
      <c r="AH128" s="781"/>
      <c r="AI128" s="782"/>
    </row>
    <row r="129" spans="1:35" ht="18">
      <c r="A129" s="975"/>
      <c r="C129" s="47"/>
      <c r="D129" s="323"/>
      <c r="E129" s="323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5"/>
      <c r="R129" s="334"/>
      <c r="S129" s="334"/>
      <c r="T129" s="39"/>
      <c r="V129" s="780"/>
      <c r="W129" s="781"/>
      <c r="X129" s="781"/>
      <c r="Y129" s="781"/>
      <c r="Z129" s="781"/>
      <c r="AA129" s="781"/>
      <c r="AB129" s="781"/>
      <c r="AC129" s="781"/>
      <c r="AD129" s="781"/>
      <c r="AE129" s="781"/>
      <c r="AF129" s="781"/>
      <c r="AG129" s="781"/>
      <c r="AH129" s="781"/>
      <c r="AI129" s="782"/>
    </row>
    <row r="130" spans="1:35" ht="18">
      <c r="A130" s="975"/>
      <c r="C130" s="47"/>
      <c r="D130" s="323"/>
      <c r="E130" s="323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5"/>
      <c r="R130" s="334"/>
      <c r="S130" s="334"/>
      <c r="T130" s="39"/>
      <c r="V130" s="780"/>
      <c r="W130" s="781"/>
      <c r="X130" s="781"/>
      <c r="Y130" s="781"/>
      <c r="Z130" s="781"/>
      <c r="AA130" s="781"/>
      <c r="AB130" s="781"/>
      <c r="AC130" s="781"/>
      <c r="AD130" s="781"/>
      <c r="AE130" s="781"/>
      <c r="AF130" s="781"/>
      <c r="AG130" s="781"/>
      <c r="AH130" s="781"/>
      <c r="AI130" s="782"/>
    </row>
    <row r="131" spans="1:35" ht="18">
      <c r="A131" s="975"/>
      <c r="C131" s="47"/>
      <c r="D131" s="323"/>
      <c r="E131" s="323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5"/>
      <c r="R131" s="334"/>
      <c r="S131" s="334"/>
      <c r="T131" s="39"/>
      <c r="V131" s="780"/>
      <c r="W131" s="781"/>
      <c r="X131" s="781"/>
      <c r="Y131" s="781"/>
      <c r="Z131" s="781"/>
      <c r="AA131" s="781"/>
      <c r="AB131" s="781"/>
      <c r="AC131" s="781"/>
      <c r="AD131" s="781"/>
      <c r="AE131" s="781"/>
      <c r="AF131" s="781"/>
      <c r="AG131" s="781"/>
      <c r="AH131" s="781"/>
      <c r="AI131" s="782"/>
    </row>
    <row r="132" spans="1:35" ht="18">
      <c r="A132" s="975"/>
      <c r="C132" s="47"/>
      <c r="D132" s="335" t="s">
        <v>579</v>
      </c>
      <c r="E132" s="332"/>
      <c r="F132" s="333"/>
      <c r="G132" s="333"/>
      <c r="H132" s="333"/>
      <c r="I132" s="333"/>
      <c r="J132" s="333"/>
      <c r="K132" s="333"/>
      <c r="L132" s="333"/>
      <c r="M132" s="333"/>
      <c r="N132" s="333"/>
      <c r="O132" s="333"/>
      <c r="P132" s="333"/>
      <c r="Q132" s="334"/>
      <c r="R132" s="334"/>
      <c r="S132" s="334"/>
      <c r="T132" s="39"/>
      <c r="V132" s="780"/>
      <c r="W132" s="781"/>
      <c r="X132" s="781"/>
      <c r="Y132" s="781"/>
      <c r="Z132" s="781"/>
      <c r="AA132" s="781"/>
      <c r="AB132" s="781"/>
      <c r="AC132" s="781"/>
      <c r="AD132" s="781"/>
      <c r="AE132" s="781"/>
      <c r="AF132" s="781"/>
      <c r="AG132" s="781"/>
      <c r="AH132" s="781"/>
      <c r="AI132" s="782"/>
    </row>
    <row r="133" spans="1:35" ht="18">
      <c r="A133" s="975"/>
      <c r="C133" s="47"/>
      <c r="D133" s="915" t="s">
        <v>580</v>
      </c>
      <c r="E133" s="66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31"/>
      <c r="R133" s="31"/>
      <c r="S133" s="31"/>
      <c r="T133" s="39"/>
      <c r="V133" s="814"/>
      <c r="W133" s="815"/>
      <c r="X133" s="815"/>
      <c r="Y133" s="815"/>
      <c r="Z133" s="815"/>
      <c r="AA133" s="815"/>
      <c r="AB133" s="815"/>
      <c r="AC133" s="815"/>
      <c r="AD133" s="815"/>
      <c r="AE133" s="815"/>
      <c r="AF133" s="815"/>
      <c r="AG133" s="815"/>
      <c r="AH133" s="815"/>
      <c r="AI133" s="816"/>
    </row>
    <row r="134" spans="1:35" ht="18">
      <c r="A134" s="975"/>
      <c r="C134" s="47"/>
      <c r="D134" s="915" t="s">
        <v>581</v>
      </c>
      <c r="E134" s="66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31"/>
      <c r="R134" s="31"/>
      <c r="S134" s="31"/>
      <c r="T134" s="39"/>
      <c r="V134" s="814"/>
      <c r="W134" s="815"/>
      <c r="X134" s="815"/>
      <c r="Y134" s="815"/>
      <c r="Z134" s="815"/>
      <c r="AA134" s="815"/>
      <c r="AB134" s="815"/>
      <c r="AC134" s="815"/>
      <c r="AD134" s="815"/>
      <c r="AE134" s="815"/>
      <c r="AF134" s="815"/>
      <c r="AG134" s="815"/>
      <c r="AH134" s="815"/>
      <c r="AI134" s="816"/>
    </row>
    <row r="135" spans="1:35" ht="18">
      <c r="A135" s="975"/>
      <c r="C135" s="47"/>
      <c r="D135" s="336" t="s">
        <v>582</v>
      </c>
      <c r="E135" s="332"/>
      <c r="F135" s="333"/>
      <c r="G135" s="333"/>
      <c r="H135" s="337">
        <f>ejercicio-1</f>
        <v>2021</v>
      </c>
      <c r="I135" s="333" t="s">
        <v>583</v>
      </c>
      <c r="J135" s="333"/>
      <c r="K135" s="333"/>
      <c r="L135" s="337">
        <f>ejercicio</f>
        <v>2022</v>
      </c>
      <c r="M135" s="333"/>
      <c r="N135" s="333"/>
      <c r="P135" s="333"/>
      <c r="Q135" s="334"/>
      <c r="R135" s="334"/>
      <c r="S135" s="334"/>
      <c r="T135" s="39"/>
      <c r="V135" s="780"/>
      <c r="W135" s="781"/>
      <c r="X135" s="781"/>
      <c r="Y135" s="781"/>
      <c r="Z135" s="781"/>
      <c r="AA135" s="781"/>
      <c r="AB135" s="781"/>
      <c r="AC135" s="781"/>
      <c r="AD135" s="781"/>
      <c r="AE135" s="781"/>
      <c r="AF135" s="781"/>
      <c r="AG135" s="781"/>
      <c r="AH135" s="781"/>
      <c r="AI135" s="782"/>
    </row>
    <row r="136" spans="1:35" ht="18">
      <c r="A136" s="975"/>
      <c r="C136" s="47"/>
      <c r="D136" s="336" t="s">
        <v>584</v>
      </c>
      <c r="E136" s="332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4"/>
      <c r="R136" s="334"/>
      <c r="S136" s="334"/>
      <c r="T136" s="39"/>
      <c r="V136" s="780"/>
      <c r="W136" s="781"/>
      <c r="X136" s="781"/>
      <c r="Y136" s="781"/>
      <c r="Z136" s="781"/>
      <c r="AA136" s="781"/>
      <c r="AB136" s="781"/>
      <c r="AC136" s="781"/>
      <c r="AD136" s="781"/>
      <c r="AE136" s="781"/>
      <c r="AF136" s="781"/>
      <c r="AG136" s="781"/>
      <c r="AH136" s="781"/>
      <c r="AI136" s="782"/>
    </row>
    <row r="137" spans="1:35" ht="18">
      <c r="A137" s="975"/>
      <c r="C137" s="47"/>
      <c r="D137" s="332" t="s">
        <v>585</v>
      </c>
      <c r="E137" s="332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4"/>
      <c r="R137" s="334"/>
      <c r="S137" s="334"/>
      <c r="T137" s="39"/>
      <c r="V137" s="780"/>
      <c r="W137" s="781"/>
      <c r="X137" s="781"/>
      <c r="Y137" s="781"/>
      <c r="Z137" s="781"/>
      <c r="AA137" s="781"/>
      <c r="AB137" s="781"/>
      <c r="AC137" s="781"/>
      <c r="AD137" s="781"/>
      <c r="AE137" s="781"/>
      <c r="AF137" s="781"/>
      <c r="AG137" s="781"/>
      <c r="AH137" s="781"/>
      <c r="AI137" s="782"/>
    </row>
    <row r="138" spans="1:35" ht="18">
      <c r="A138" s="975"/>
      <c r="C138" s="47"/>
      <c r="D138" s="336" t="s">
        <v>586</v>
      </c>
      <c r="E138" s="332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4"/>
      <c r="R138" s="334"/>
      <c r="S138" s="334"/>
      <c r="T138" s="39"/>
      <c r="V138" s="780"/>
      <c r="W138" s="781"/>
      <c r="X138" s="781"/>
      <c r="Y138" s="781"/>
      <c r="Z138" s="781"/>
      <c r="AA138" s="781"/>
      <c r="AB138" s="781"/>
      <c r="AC138" s="781"/>
      <c r="AD138" s="781"/>
      <c r="AE138" s="781"/>
      <c r="AF138" s="781"/>
      <c r="AG138" s="781"/>
      <c r="AH138" s="781"/>
      <c r="AI138" s="782"/>
    </row>
    <row r="139" spans="1:35" ht="18">
      <c r="A139" s="975"/>
      <c r="C139" s="47"/>
      <c r="D139" s="332" t="s">
        <v>587</v>
      </c>
      <c r="E139" s="332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4"/>
      <c r="R139" s="334"/>
      <c r="S139" s="334"/>
      <c r="T139" s="39"/>
      <c r="V139" s="780"/>
      <c r="W139" s="781"/>
      <c r="X139" s="781"/>
      <c r="Y139" s="781"/>
      <c r="Z139" s="781"/>
      <c r="AA139" s="781"/>
      <c r="AB139" s="781"/>
      <c r="AC139" s="781"/>
      <c r="AD139" s="781"/>
      <c r="AE139" s="781"/>
      <c r="AF139" s="781"/>
      <c r="AG139" s="781"/>
      <c r="AH139" s="781"/>
      <c r="AI139" s="782"/>
    </row>
    <row r="140" spans="1:35" ht="18">
      <c r="A140" s="975"/>
      <c r="C140" s="47"/>
      <c r="D140" s="332" t="s">
        <v>588</v>
      </c>
      <c r="E140" s="332"/>
      <c r="F140" s="333"/>
      <c r="G140" s="333"/>
      <c r="H140" s="333"/>
      <c r="I140" s="333"/>
      <c r="J140" s="333"/>
      <c r="K140" s="333"/>
      <c r="L140" s="333"/>
      <c r="M140" s="333"/>
      <c r="N140" s="333"/>
      <c r="O140" s="333"/>
      <c r="P140" s="333"/>
      <c r="Q140" s="334"/>
      <c r="R140" s="334"/>
      <c r="S140" s="334"/>
      <c r="T140" s="39"/>
      <c r="V140" s="780"/>
      <c r="W140" s="781"/>
      <c r="X140" s="781"/>
      <c r="Y140" s="781"/>
      <c r="Z140" s="781"/>
      <c r="AA140" s="781"/>
      <c r="AB140" s="781"/>
      <c r="AC140" s="781"/>
      <c r="AD140" s="781"/>
      <c r="AE140" s="781"/>
      <c r="AF140" s="781"/>
      <c r="AG140" s="781"/>
      <c r="AH140" s="781"/>
      <c r="AI140" s="782"/>
    </row>
    <row r="141" spans="1:35" ht="18">
      <c r="A141" s="975"/>
      <c r="C141" s="47"/>
      <c r="D141" s="332" t="s">
        <v>589</v>
      </c>
      <c r="E141" s="332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4"/>
      <c r="R141" s="334"/>
      <c r="S141" s="334"/>
      <c r="T141" s="39"/>
      <c r="V141" s="780"/>
      <c r="W141" s="781"/>
      <c r="X141" s="781"/>
      <c r="Y141" s="781"/>
      <c r="Z141" s="781"/>
      <c r="AA141" s="781"/>
      <c r="AB141" s="781"/>
      <c r="AC141" s="781"/>
      <c r="AD141" s="781"/>
      <c r="AE141" s="781"/>
      <c r="AF141" s="781"/>
      <c r="AG141" s="781"/>
      <c r="AH141" s="781"/>
      <c r="AI141" s="782"/>
    </row>
    <row r="142" spans="1:35" ht="18">
      <c r="A142" s="975"/>
      <c r="C142" s="47"/>
      <c r="D142" s="336" t="s">
        <v>590</v>
      </c>
      <c r="E142" s="332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4"/>
      <c r="R142" s="334"/>
      <c r="S142" s="334"/>
      <c r="T142" s="39"/>
      <c r="V142" s="780"/>
      <c r="W142" s="781"/>
      <c r="X142" s="781"/>
      <c r="Y142" s="781"/>
      <c r="Z142" s="781"/>
      <c r="AA142" s="781"/>
      <c r="AB142" s="781"/>
      <c r="AC142" s="781"/>
      <c r="AD142" s="781"/>
      <c r="AE142" s="781"/>
      <c r="AF142" s="781"/>
      <c r="AG142" s="781"/>
      <c r="AH142" s="781"/>
      <c r="AI142" s="782"/>
    </row>
    <row r="143" spans="1:35" ht="18">
      <c r="A143" s="975"/>
      <c r="C143" s="47"/>
      <c r="D143" s="336" t="s">
        <v>591</v>
      </c>
      <c r="E143" s="332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4"/>
      <c r="R143" s="334"/>
      <c r="S143" s="334"/>
      <c r="T143" s="39"/>
      <c r="V143" s="780"/>
      <c r="W143" s="781"/>
      <c r="X143" s="781"/>
      <c r="Y143" s="781"/>
      <c r="Z143" s="781"/>
      <c r="AA143" s="781"/>
      <c r="AB143" s="781"/>
      <c r="AC143" s="781"/>
      <c r="AD143" s="781"/>
      <c r="AE143" s="781"/>
      <c r="AF143" s="781"/>
      <c r="AG143" s="781"/>
      <c r="AH143" s="781"/>
      <c r="AI143" s="782"/>
    </row>
    <row r="144" spans="1:35" ht="18">
      <c r="A144" s="975"/>
      <c r="C144" s="47"/>
      <c r="D144" s="332" t="s">
        <v>592</v>
      </c>
      <c r="E144" s="332"/>
      <c r="F144" s="333"/>
      <c r="G144" s="333"/>
      <c r="H144" s="333"/>
      <c r="I144" s="333"/>
      <c r="J144" s="333"/>
      <c r="K144" s="333"/>
      <c r="L144" s="333"/>
      <c r="M144" s="333"/>
      <c r="N144" s="333"/>
      <c r="O144" s="333"/>
      <c r="P144" s="333"/>
      <c r="Q144" s="334"/>
      <c r="R144" s="334"/>
      <c r="S144" s="334"/>
      <c r="T144" s="39"/>
      <c r="V144" s="780"/>
      <c r="W144" s="781"/>
      <c r="X144" s="781"/>
      <c r="Y144" s="781"/>
      <c r="Z144" s="781"/>
      <c r="AA144" s="781"/>
      <c r="AB144" s="781"/>
      <c r="AC144" s="781"/>
      <c r="AD144" s="781"/>
      <c r="AE144" s="781"/>
      <c r="AF144" s="781"/>
      <c r="AG144" s="781"/>
      <c r="AH144" s="781"/>
      <c r="AI144" s="782"/>
    </row>
    <row r="145" spans="1:35" ht="18">
      <c r="A145" s="975"/>
      <c r="C145" s="47"/>
      <c r="D145" s="336" t="s">
        <v>593</v>
      </c>
      <c r="E145" s="332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4"/>
      <c r="R145" s="334"/>
      <c r="S145" s="334"/>
      <c r="T145" s="39"/>
      <c r="V145" s="780"/>
      <c r="W145" s="781"/>
      <c r="X145" s="781"/>
      <c r="Y145" s="781"/>
      <c r="Z145" s="781"/>
      <c r="AA145" s="781"/>
      <c r="AB145" s="781"/>
      <c r="AC145" s="781"/>
      <c r="AD145" s="781"/>
      <c r="AE145" s="781"/>
      <c r="AF145" s="781"/>
      <c r="AG145" s="781"/>
      <c r="AH145" s="781"/>
      <c r="AI145" s="782"/>
    </row>
    <row r="146" spans="1:35" s="344" customFormat="1" ht="18">
      <c r="A146" s="975"/>
      <c r="C146" s="338"/>
      <c r="D146" s="339" t="s">
        <v>594</v>
      </c>
      <c r="E146" s="340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2"/>
      <c r="R146" s="342"/>
      <c r="S146" s="342"/>
      <c r="T146" s="343"/>
      <c r="V146" s="780"/>
      <c r="W146" s="781"/>
      <c r="X146" s="781"/>
      <c r="Y146" s="781"/>
      <c r="Z146" s="781"/>
      <c r="AA146" s="781"/>
      <c r="AB146" s="781"/>
      <c r="AC146" s="781"/>
      <c r="AD146" s="781"/>
      <c r="AE146" s="781"/>
      <c r="AF146" s="781"/>
      <c r="AG146" s="781"/>
      <c r="AH146" s="781"/>
      <c r="AI146" s="782"/>
    </row>
    <row r="147" spans="1:35" ht="18">
      <c r="A147" s="975"/>
      <c r="C147" s="47"/>
      <c r="D147" s="332" t="s">
        <v>595</v>
      </c>
      <c r="E147" s="332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/>
      <c r="P147" s="333"/>
      <c r="Q147" s="334"/>
      <c r="R147" s="334"/>
      <c r="S147" s="334"/>
      <c r="T147" s="39"/>
      <c r="V147" s="780"/>
      <c r="W147" s="781"/>
      <c r="X147" s="781"/>
      <c r="Y147" s="781"/>
      <c r="Z147" s="781"/>
      <c r="AA147" s="781"/>
      <c r="AB147" s="781"/>
      <c r="AC147" s="781"/>
      <c r="AD147" s="781"/>
      <c r="AE147" s="781"/>
      <c r="AF147" s="781"/>
      <c r="AG147" s="781"/>
      <c r="AH147" s="781"/>
      <c r="AI147" s="782"/>
    </row>
    <row r="148" spans="1:35" ht="18">
      <c r="A148" s="975"/>
      <c r="C148" s="47"/>
      <c r="D148" s="336" t="s">
        <v>596</v>
      </c>
      <c r="E148" s="332"/>
      <c r="F148" s="333"/>
      <c r="G148" s="333"/>
      <c r="H148" s="333"/>
      <c r="I148" s="333"/>
      <c r="J148" s="333"/>
      <c r="K148" s="333"/>
      <c r="L148" s="333"/>
      <c r="M148" s="333"/>
      <c r="N148" s="333"/>
      <c r="O148" s="333"/>
      <c r="P148" s="333"/>
      <c r="Q148" s="334"/>
      <c r="R148" s="334"/>
      <c r="S148" s="334"/>
      <c r="T148" s="39"/>
      <c r="V148" s="780"/>
      <c r="W148" s="781"/>
      <c r="X148" s="781"/>
      <c r="Y148" s="781"/>
      <c r="Z148" s="781"/>
      <c r="AA148" s="781"/>
      <c r="AB148" s="781"/>
      <c r="AC148" s="781"/>
      <c r="AD148" s="781"/>
      <c r="AE148" s="781"/>
      <c r="AF148" s="781"/>
      <c r="AG148" s="781"/>
      <c r="AH148" s="781"/>
      <c r="AI148" s="782"/>
    </row>
    <row r="149" spans="1:35" ht="18">
      <c r="A149" s="975"/>
      <c r="C149" s="47"/>
      <c r="D149" s="332" t="s">
        <v>597</v>
      </c>
      <c r="E149" s="332"/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4"/>
      <c r="R149" s="334"/>
      <c r="S149" s="334"/>
      <c r="T149" s="39"/>
      <c r="V149" s="780"/>
      <c r="W149" s="781"/>
      <c r="X149" s="781"/>
      <c r="Y149" s="781"/>
      <c r="Z149" s="781"/>
      <c r="AA149" s="781"/>
      <c r="AB149" s="781"/>
      <c r="AC149" s="781"/>
      <c r="AD149" s="781"/>
      <c r="AE149" s="781"/>
      <c r="AF149" s="781"/>
      <c r="AG149" s="781"/>
      <c r="AH149" s="781"/>
      <c r="AI149" s="782"/>
    </row>
    <row r="150" spans="1:35" ht="23.1" customHeight="1" thickBot="1">
      <c r="A150" s="975"/>
      <c r="C150" s="50"/>
      <c r="D150" s="1148"/>
      <c r="E150" s="1148"/>
      <c r="F150" s="1148"/>
      <c r="G150" s="1148"/>
      <c r="H150" s="1148"/>
      <c r="I150" s="26"/>
      <c r="J150" s="26"/>
      <c r="K150" s="26"/>
      <c r="L150" s="26"/>
      <c r="M150" s="26"/>
      <c r="N150" s="26"/>
      <c r="O150" s="26"/>
      <c r="P150" s="26"/>
      <c r="Q150" s="51"/>
      <c r="R150" s="51"/>
      <c r="S150" s="51"/>
      <c r="T150" s="52"/>
      <c r="V150" s="789"/>
      <c r="W150" s="790"/>
      <c r="X150" s="790"/>
      <c r="Y150" s="790"/>
      <c r="Z150" s="790"/>
      <c r="AA150" s="790"/>
      <c r="AB150" s="790"/>
      <c r="AC150" s="790"/>
      <c r="AD150" s="790"/>
      <c r="AE150" s="790"/>
      <c r="AF150" s="790"/>
      <c r="AG150" s="790"/>
      <c r="AH150" s="790"/>
      <c r="AI150" s="791"/>
    </row>
    <row r="151" spans="1:35" ht="23.1" customHeight="1">
      <c r="A151" s="369"/>
      <c r="U151" s="32" t="s">
        <v>140</v>
      </c>
    </row>
    <row r="152" spans="1:35" ht="15">
      <c r="A152" s="369"/>
      <c r="D152" s="53" t="s">
        <v>39</v>
      </c>
      <c r="Q152" s="30" t="s">
        <v>598</v>
      </c>
      <c r="R152" s="30"/>
      <c r="S152" s="30"/>
    </row>
    <row r="153" spans="1:35" ht="15">
      <c r="A153" s="369"/>
      <c r="D153" s="53" t="s">
        <v>41</v>
      </c>
    </row>
    <row r="154" spans="1:35" ht="15">
      <c r="A154" s="369"/>
      <c r="D154" s="53" t="s">
        <v>42</v>
      </c>
    </row>
    <row r="155" spans="1:35" ht="15">
      <c r="A155" s="369"/>
      <c r="D155" s="53" t="s">
        <v>43</v>
      </c>
    </row>
    <row r="156" spans="1:35" ht="15">
      <c r="A156" s="369"/>
      <c r="D156" s="53" t="s">
        <v>44</v>
      </c>
    </row>
    <row r="157" spans="1:35" ht="15">
      <c r="A157" s="369"/>
    </row>
    <row r="158" spans="1:35" ht="15" hidden="1">
      <c r="A158" s="369"/>
      <c r="D158" s="643" t="s">
        <v>599</v>
      </c>
    </row>
    <row r="159" spans="1:35" ht="15" hidden="1">
      <c r="A159" s="369"/>
      <c r="D159" s="32" t="s">
        <v>39</v>
      </c>
    </row>
    <row r="160" spans="1:35" ht="15" hidden="1">
      <c r="A160" s="369"/>
      <c r="D160" s="32" t="s">
        <v>600</v>
      </c>
    </row>
    <row r="161" spans="1:4" ht="15" hidden="1">
      <c r="A161" s="369"/>
      <c r="D161" s="32" t="s">
        <v>601</v>
      </c>
    </row>
    <row r="162" spans="1:4" ht="15" hidden="1">
      <c r="A162" s="369"/>
      <c r="D162" s="32" t="s">
        <v>602</v>
      </c>
    </row>
  </sheetData>
  <sheetProtection algorithmName="SHA-512" hashValue="X21iCDCv+52Tt2oDaOubzc1ovDtrlTivZR+tqbOsxkSBjioCUo+VMjfYWo+EuPtD6hLSWbWHIS25+B5+Raxn1w==" saltValue="G2Dhe0MICxUSU2UQC1v+Kw==" spinCount="100000" sheet="1" insertRows="0"/>
  <mergeCells count="49">
    <mergeCell ref="F110:G110"/>
    <mergeCell ref="F111:G111"/>
    <mergeCell ref="X91:Y92"/>
    <mergeCell ref="F117:G117"/>
    <mergeCell ref="F118:G118"/>
    <mergeCell ref="F112:G112"/>
    <mergeCell ref="F113:G113"/>
    <mergeCell ref="F114:G114"/>
    <mergeCell ref="F115:G115"/>
    <mergeCell ref="F116:G116"/>
    <mergeCell ref="R6:R7"/>
    <mergeCell ref="F15:G15"/>
    <mergeCell ref="D150:H150"/>
    <mergeCell ref="D54:E54"/>
    <mergeCell ref="D92:E92"/>
    <mergeCell ref="H92:I92"/>
    <mergeCell ref="J92:K92"/>
    <mergeCell ref="D93:E93"/>
    <mergeCell ref="D85:G85"/>
    <mergeCell ref="F93:G93"/>
    <mergeCell ref="F92:G92"/>
    <mergeCell ref="D104:G104"/>
    <mergeCell ref="F108:G108"/>
    <mergeCell ref="D108:E108"/>
    <mergeCell ref="D119:G119"/>
    <mergeCell ref="F109:G109"/>
    <mergeCell ref="D53:E53"/>
    <mergeCell ref="D16:E16"/>
    <mergeCell ref="D12:E12"/>
    <mergeCell ref="D15:E15"/>
    <mergeCell ref="E9:R9"/>
    <mergeCell ref="H15:M15"/>
    <mergeCell ref="N15:O15"/>
    <mergeCell ref="N16:O16"/>
    <mergeCell ref="L16:M16"/>
    <mergeCell ref="I16:J16"/>
    <mergeCell ref="D17:E17"/>
    <mergeCell ref="F16:G17"/>
    <mergeCell ref="D43:G43"/>
    <mergeCell ref="D46:G46"/>
    <mergeCell ref="D45:G45"/>
    <mergeCell ref="W9:X9"/>
    <mergeCell ref="W11:AH11"/>
    <mergeCell ref="F54:G54"/>
    <mergeCell ref="H53:I53"/>
    <mergeCell ref="J53:K53"/>
    <mergeCell ref="F53:G53"/>
    <mergeCell ref="X15:Y16"/>
    <mergeCell ref="X52:Y53"/>
  </mergeCells>
  <phoneticPr fontId="16" type="noConversion"/>
  <dataValidations count="1">
    <dataValidation type="list" allowBlank="1" showInputMessage="1" showErrorMessage="1" sqref="F55:F84 F94:F103 F21:F42" xr:uid="{00000000-0002-0000-0B00-000000000000}">
      <formula1>$D$159:$D$162</formula1>
    </dataValidation>
  </dataValidations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2:AM164"/>
  <sheetViews>
    <sheetView topLeftCell="A62" zoomScale="55" zoomScaleNormal="55" zoomScalePageLayoutView="125" workbookViewId="0">
      <selection activeCell="R121" sqref="R121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26.5546875" style="32" customWidth="1"/>
    <col min="6" max="7" width="13.44140625" style="33" customWidth="1"/>
    <col min="8" max="8" width="20" style="33" customWidth="1"/>
    <col min="9" max="9" width="13.44140625" style="33" customWidth="1"/>
    <col min="10" max="10" width="11.109375" style="33" customWidth="1"/>
    <col min="11" max="11" width="16" style="33" customWidth="1"/>
    <col min="12" max="13" width="15.88671875" style="33" customWidth="1"/>
    <col min="14" max="14" width="16.5546875" style="33" customWidth="1"/>
    <col min="15" max="15" width="17" style="33" customWidth="1"/>
    <col min="16" max="20" width="15.88671875" style="33" customWidth="1"/>
    <col min="21" max="21" width="3.33203125" style="32" customWidth="1"/>
    <col min="22" max="22" width="10.6640625" style="32"/>
    <col min="23" max="23" width="11.109375" style="32" bestFit="1" customWidth="1"/>
    <col min="24" max="16384" width="10.6640625" style="32"/>
  </cols>
  <sheetData>
    <row r="2" spans="1:36" ht="23.1" customHeight="1">
      <c r="A2" s="369"/>
      <c r="E2" s="347" t="str">
        <f>_GENERAL!D2</f>
        <v>Área de Presidencia, Hacienda y Modernización</v>
      </c>
    </row>
    <row r="3" spans="1:36" ht="23.1" customHeight="1">
      <c r="A3" s="369"/>
      <c r="E3" s="347" t="str">
        <f>_GENERAL!D3</f>
        <v>Dirección Insular de Hacienda</v>
      </c>
    </row>
    <row r="4" spans="1:36" ht="23.1" customHeight="1" thickBot="1">
      <c r="A4" s="369"/>
      <c r="B4" s="32" t="s">
        <v>100</v>
      </c>
    </row>
    <row r="5" spans="1:36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W5" s="757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8"/>
      <c r="AJ5" s="759"/>
    </row>
    <row r="6" spans="1:36" ht="30" customHeight="1">
      <c r="A6" s="975"/>
      <c r="C6" s="38"/>
      <c r="D6" s="29" t="s">
        <v>2</v>
      </c>
      <c r="T6" s="1140">
        <f>ejercicio</f>
        <v>2022</v>
      </c>
      <c r="U6" s="39"/>
      <c r="W6" s="174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7"/>
    </row>
    <row r="7" spans="1:36" ht="30" customHeight="1">
      <c r="A7" s="975"/>
      <c r="C7" s="38"/>
      <c r="D7" s="29" t="s">
        <v>3</v>
      </c>
      <c r="T7" s="1140"/>
      <c r="U7" s="39"/>
      <c r="W7" s="178"/>
      <c r="X7" s="175" t="s">
        <v>101</v>
      </c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</row>
    <row r="8" spans="1:36" ht="30" customHeight="1">
      <c r="A8" s="975"/>
      <c r="C8" s="38"/>
      <c r="D8" s="40"/>
      <c r="U8" s="39"/>
      <c r="W8" s="814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  <c r="AI8" s="815"/>
      <c r="AJ8" s="816"/>
    </row>
    <row r="9" spans="1:36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1149"/>
      <c r="U9" s="936"/>
      <c r="V9" s="970"/>
      <c r="W9" s="814"/>
      <c r="X9" s="815"/>
      <c r="Y9" s="815"/>
      <c r="Z9" s="815"/>
      <c r="AA9" s="815"/>
      <c r="AB9" s="815"/>
      <c r="AC9" s="815"/>
      <c r="AD9" s="815"/>
      <c r="AE9" s="815"/>
      <c r="AF9" s="815"/>
      <c r="AG9" s="815"/>
      <c r="AH9" s="815"/>
      <c r="AI9" s="815"/>
      <c r="AJ9" s="816"/>
    </row>
    <row r="10" spans="1:36" ht="6.95" customHeight="1">
      <c r="A10" s="975"/>
      <c r="C10" s="38"/>
      <c r="U10" s="39"/>
      <c r="W10" s="814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  <c r="AI10" s="815"/>
      <c r="AJ10" s="816"/>
    </row>
    <row r="11" spans="1:36" s="46" customFormat="1" ht="30" customHeight="1">
      <c r="A11" s="901"/>
      <c r="C11" s="42"/>
      <c r="D11" s="43" t="s">
        <v>603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  <c r="W11" s="814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6"/>
    </row>
    <row r="12" spans="1:36" s="46" customFormat="1" ht="30" customHeight="1">
      <c r="A12" s="901"/>
      <c r="C12" s="42"/>
      <c r="D12" s="1160"/>
      <c r="E12" s="116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45"/>
      <c r="W12" s="814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6"/>
    </row>
    <row r="13" spans="1:36" ht="29.1" customHeight="1">
      <c r="A13" s="901"/>
      <c r="C13" s="47"/>
      <c r="D13" s="28" t="s">
        <v>604</v>
      </c>
      <c r="E13" s="60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9"/>
      <c r="W13" s="814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6"/>
    </row>
    <row r="14" spans="1:36" ht="9" customHeight="1">
      <c r="A14" s="902"/>
      <c r="C14" s="47"/>
      <c r="D14" s="604"/>
      <c r="E14" s="604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9"/>
      <c r="W14" s="814"/>
      <c r="X14" s="815"/>
      <c r="Y14" s="815"/>
      <c r="Z14" s="815"/>
      <c r="AA14" s="815"/>
      <c r="AB14" s="815"/>
      <c r="AC14" s="815"/>
      <c r="AD14" s="815"/>
      <c r="AE14" s="815"/>
      <c r="AF14" s="815"/>
      <c r="AG14" s="815"/>
      <c r="AH14" s="815"/>
      <c r="AI14" s="815"/>
      <c r="AJ14" s="816"/>
    </row>
    <row r="15" spans="1:36" ht="23.1" customHeight="1">
      <c r="A15" s="903"/>
      <c r="C15" s="47"/>
      <c r="D15" s="604"/>
      <c r="E15" s="604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9"/>
      <c r="W15" s="814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6"/>
    </row>
    <row r="16" spans="1:36" ht="39" customHeight="1">
      <c r="A16" s="903"/>
      <c r="C16" s="47"/>
      <c r="D16" s="86" t="s">
        <v>605</v>
      </c>
      <c r="E16" s="122" t="s">
        <v>606</v>
      </c>
      <c r="F16" s="86" t="s">
        <v>607</v>
      </c>
      <c r="G16" s="86" t="s">
        <v>607</v>
      </c>
      <c r="H16" s="86" t="s">
        <v>608</v>
      </c>
      <c r="I16" s="86" t="s">
        <v>609</v>
      </c>
      <c r="J16" s="86" t="s">
        <v>610</v>
      </c>
      <c r="K16" s="86" t="s">
        <v>611</v>
      </c>
      <c r="L16" s="86" t="s">
        <v>612</v>
      </c>
      <c r="M16" s="86" t="s">
        <v>613</v>
      </c>
      <c r="N16" s="377" t="s">
        <v>614</v>
      </c>
      <c r="O16" s="86" t="s">
        <v>615</v>
      </c>
      <c r="P16" s="86" t="s">
        <v>616</v>
      </c>
      <c r="Q16" s="378" t="s">
        <v>617</v>
      </c>
      <c r="R16" s="86" t="s">
        <v>613</v>
      </c>
      <c r="S16" s="1204" t="s">
        <v>618</v>
      </c>
      <c r="T16" s="1205"/>
      <c r="U16" s="39"/>
      <c r="W16" s="814"/>
      <c r="X16" s="815"/>
      <c r="Y16" s="815"/>
      <c r="Z16" s="815"/>
      <c r="AA16" s="815"/>
      <c r="AB16" s="815"/>
      <c r="AC16" s="815"/>
      <c r="AD16" s="815"/>
      <c r="AE16" s="815"/>
      <c r="AF16" s="815"/>
      <c r="AG16" s="815"/>
      <c r="AH16" s="815"/>
      <c r="AI16" s="815"/>
      <c r="AJ16" s="816"/>
    </row>
    <row r="17" spans="1:36" ht="23.1" customHeight="1">
      <c r="A17" s="903"/>
      <c r="C17" s="47"/>
      <c r="D17" s="126" t="s">
        <v>619</v>
      </c>
      <c r="E17" s="127" t="s">
        <v>619</v>
      </c>
      <c r="F17" s="126" t="s">
        <v>620</v>
      </c>
      <c r="G17" s="126" t="s">
        <v>621</v>
      </c>
      <c r="H17" s="126" t="s">
        <v>622</v>
      </c>
      <c r="I17" s="126" t="s">
        <v>623</v>
      </c>
      <c r="J17" s="126" t="s">
        <v>624</v>
      </c>
      <c r="K17" s="126" t="s">
        <v>625</v>
      </c>
      <c r="L17" s="126" t="s">
        <v>626</v>
      </c>
      <c r="M17" s="126">
        <f>ejercicio-1</f>
        <v>2021</v>
      </c>
      <c r="N17" s="126">
        <f>ejercicio</f>
        <v>2022</v>
      </c>
      <c r="O17" s="126">
        <f>ejercicio</f>
        <v>2022</v>
      </c>
      <c r="P17" s="126">
        <f>ejercicio</f>
        <v>2022</v>
      </c>
      <c r="Q17" s="126">
        <f>ejercicio</f>
        <v>2022</v>
      </c>
      <c r="R17" s="126">
        <f>ejercicio</f>
        <v>2022</v>
      </c>
      <c r="S17" s="379" t="s">
        <v>627</v>
      </c>
      <c r="T17" s="380" t="s">
        <v>628</v>
      </c>
      <c r="U17" s="39"/>
      <c r="W17" s="814"/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15"/>
      <c r="AJ17" s="816"/>
    </row>
    <row r="18" spans="1:36" ht="23.1" customHeight="1">
      <c r="A18" s="903"/>
      <c r="C18" s="47"/>
      <c r="D18" s="675"/>
      <c r="E18" s="367"/>
      <c r="F18" s="951"/>
      <c r="G18" s="951"/>
      <c r="H18" s="675"/>
      <c r="I18" s="676"/>
      <c r="J18" s="676"/>
      <c r="K18" s="295"/>
      <c r="L18" s="390"/>
      <c r="M18" s="390"/>
      <c r="N18" s="679"/>
      <c r="O18" s="679"/>
      <c r="P18" s="679"/>
      <c r="Q18" s="680"/>
      <c r="R18" s="381">
        <f>M18+N18-O18</f>
        <v>0</v>
      </c>
      <c r="S18" s="681"/>
      <c r="T18" s="682"/>
      <c r="U18" s="39"/>
      <c r="W18" s="814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816"/>
    </row>
    <row r="19" spans="1:36" ht="23.1" customHeight="1">
      <c r="A19" s="903"/>
      <c r="C19" s="47"/>
      <c r="D19" s="675"/>
      <c r="E19" s="367"/>
      <c r="F19" s="951"/>
      <c r="G19" s="951"/>
      <c r="H19" s="675"/>
      <c r="I19" s="676"/>
      <c r="J19" s="676"/>
      <c r="K19" s="676"/>
      <c r="L19" s="390"/>
      <c r="M19" s="390"/>
      <c r="N19" s="390"/>
      <c r="O19" s="390"/>
      <c r="P19" s="390"/>
      <c r="Q19" s="680"/>
      <c r="R19" s="381">
        <f t="shared" ref="R19:R42" si="0">M19+N19-O19</f>
        <v>0</v>
      </c>
      <c r="S19" s="683"/>
      <c r="T19" s="684"/>
      <c r="U19" s="39"/>
      <c r="W19" s="814"/>
      <c r="X19" s="815"/>
      <c r="Y19" s="815"/>
      <c r="Z19" s="815"/>
      <c r="AA19" s="815"/>
      <c r="AB19" s="815"/>
      <c r="AC19" s="815"/>
      <c r="AD19" s="815"/>
      <c r="AE19" s="815"/>
      <c r="AF19" s="815"/>
      <c r="AG19" s="815"/>
      <c r="AH19" s="815"/>
      <c r="AI19" s="815"/>
      <c r="AJ19" s="816"/>
    </row>
    <row r="20" spans="1:36" ht="23.1" customHeight="1">
      <c r="A20" s="903"/>
      <c r="C20" s="47"/>
      <c r="D20" s="675"/>
      <c r="E20" s="367"/>
      <c r="F20" s="951"/>
      <c r="G20" s="951"/>
      <c r="H20" s="675"/>
      <c r="I20" s="676"/>
      <c r="J20" s="676"/>
      <c r="K20" s="676"/>
      <c r="L20" s="390"/>
      <c r="M20" s="390"/>
      <c r="N20" s="390"/>
      <c r="O20" s="390"/>
      <c r="P20" s="390"/>
      <c r="Q20" s="680"/>
      <c r="R20" s="381">
        <f t="shared" si="0"/>
        <v>0</v>
      </c>
      <c r="S20" s="683"/>
      <c r="T20" s="684"/>
      <c r="U20" s="39"/>
      <c r="W20" s="814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6"/>
    </row>
    <row r="21" spans="1:36" ht="23.1" customHeight="1">
      <c r="A21" s="903"/>
      <c r="C21" s="47"/>
      <c r="D21" s="675"/>
      <c r="E21" s="367"/>
      <c r="F21" s="951"/>
      <c r="G21" s="951"/>
      <c r="H21" s="675"/>
      <c r="I21" s="676"/>
      <c r="J21" s="676"/>
      <c r="K21" s="676"/>
      <c r="L21" s="390"/>
      <c r="M21" s="390"/>
      <c r="N21" s="390"/>
      <c r="O21" s="390"/>
      <c r="P21" s="390"/>
      <c r="Q21" s="680"/>
      <c r="R21" s="381">
        <f t="shared" si="0"/>
        <v>0</v>
      </c>
      <c r="S21" s="683"/>
      <c r="T21" s="684"/>
      <c r="U21" s="39"/>
      <c r="W21" s="814"/>
      <c r="X21" s="815"/>
      <c r="Y21" s="815"/>
      <c r="Z21" s="815"/>
      <c r="AA21" s="815"/>
      <c r="AB21" s="815"/>
      <c r="AC21" s="815"/>
      <c r="AD21" s="815"/>
      <c r="AE21" s="815"/>
      <c r="AF21" s="815"/>
      <c r="AG21" s="815"/>
      <c r="AH21" s="815"/>
      <c r="AI21" s="815"/>
      <c r="AJ21" s="816"/>
    </row>
    <row r="22" spans="1:36" ht="23.1" customHeight="1">
      <c r="A22" s="903"/>
      <c r="C22" s="47"/>
      <c r="D22" s="675"/>
      <c r="E22" s="367"/>
      <c r="F22" s="951"/>
      <c r="G22" s="951"/>
      <c r="H22" s="675"/>
      <c r="I22" s="676"/>
      <c r="J22" s="676"/>
      <c r="K22" s="676"/>
      <c r="L22" s="390"/>
      <c r="M22" s="390"/>
      <c r="N22" s="390"/>
      <c r="O22" s="390"/>
      <c r="P22" s="390"/>
      <c r="Q22" s="680"/>
      <c r="R22" s="381">
        <f t="shared" si="0"/>
        <v>0</v>
      </c>
      <c r="S22" s="683"/>
      <c r="T22" s="684"/>
      <c r="U22" s="39"/>
      <c r="W22" s="814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  <c r="AI22" s="815"/>
      <c r="AJ22" s="816"/>
    </row>
    <row r="23" spans="1:36" ht="23.1" customHeight="1">
      <c r="A23" s="903"/>
      <c r="C23" s="47"/>
      <c r="D23" s="675"/>
      <c r="E23" s="367"/>
      <c r="F23" s="951"/>
      <c r="G23" s="951"/>
      <c r="H23" s="675"/>
      <c r="I23" s="676"/>
      <c r="J23" s="676"/>
      <c r="K23" s="676"/>
      <c r="L23" s="390"/>
      <c r="M23" s="390"/>
      <c r="N23" s="390"/>
      <c r="O23" s="390"/>
      <c r="P23" s="390"/>
      <c r="Q23" s="680"/>
      <c r="R23" s="381">
        <f t="shared" si="0"/>
        <v>0</v>
      </c>
      <c r="S23" s="683"/>
      <c r="T23" s="684"/>
      <c r="U23" s="39"/>
      <c r="W23" s="814"/>
      <c r="X23" s="815"/>
      <c r="Y23" s="815"/>
      <c r="Z23" s="815"/>
      <c r="AA23" s="815"/>
      <c r="AB23" s="815"/>
      <c r="AC23" s="815"/>
      <c r="AD23" s="815"/>
      <c r="AE23" s="815"/>
      <c r="AF23" s="815"/>
      <c r="AG23" s="815"/>
      <c r="AH23" s="815"/>
      <c r="AI23" s="815"/>
      <c r="AJ23" s="816"/>
    </row>
    <row r="24" spans="1:36" ht="23.1" customHeight="1">
      <c r="A24" s="903"/>
      <c r="C24" s="47"/>
      <c r="D24" s="675"/>
      <c r="E24" s="367"/>
      <c r="F24" s="951"/>
      <c r="G24" s="951"/>
      <c r="H24" s="675"/>
      <c r="I24" s="676"/>
      <c r="J24" s="676"/>
      <c r="K24" s="676"/>
      <c r="L24" s="390"/>
      <c r="M24" s="390"/>
      <c r="N24" s="390"/>
      <c r="O24" s="390"/>
      <c r="P24" s="390"/>
      <c r="Q24" s="680"/>
      <c r="R24" s="381">
        <f t="shared" si="0"/>
        <v>0</v>
      </c>
      <c r="S24" s="683"/>
      <c r="T24" s="684"/>
      <c r="U24" s="39"/>
      <c r="W24" s="814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816"/>
    </row>
    <row r="25" spans="1:36" ht="23.1" customHeight="1">
      <c r="A25" s="903"/>
      <c r="C25" s="47"/>
      <c r="D25" s="675"/>
      <c r="E25" s="367"/>
      <c r="F25" s="951"/>
      <c r="G25" s="951"/>
      <c r="H25" s="675"/>
      <c r="I25" s="676"/>
      <c r="J25" s="676"/>
      <c r="K25" s="676"/>
      <c r="L25" s="390"/>
      <c r="M25" s="390"/>
      <c r="N25" s="390"/>
      <c r="O25" s="390"/>
      <c r="P25" s="390"/>
      <c r="Q25" s="680"/>
      <c r="R25" s="381">
        <f t="shared" si="0"/>
        <v>0</v>
      </c>
      <c r="S25" s="683"/>
      <c r="T25" s="684"/>
      <c r="U25" s="39"/>
      <c r="W25" s="814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16"/>
    </row>
    <row r="26" spans="1:36" ht="23.1" customHeight="1">
      <c r="A26" s="903"/>
      <c r="C26" s="47"/>
      <c r="D26" s="675"/>
      <c r="E26" s="367"/>
      <c r="F26" s="951"/>
      <c r="G26" s="951"/>
      <c r="H26" s="675"/>
      <c r="I26" s="676"/>
      <c r="J26" s="676"/>
      <c r="K26" s="676"/>
      <c r="L26" s="390"/>
      <c r="M26" s="390"/>
      <c r="N26" s="390"/>
      <c r="O26" s="390"/>
      <c r="P26" s="390"/>
      <c r="Q26" s="680"/>
      <c r="R26" s="381">
        <f t="shared" si="0"/>
        <v>0</v>
      </c>
      <c r="S26" s="683"/>
      <c r="T26" s="684"/>
      <c r="U26" s="39"/>
      <c r="W26" s="814"/>
      <c r="X26" s="815"/>
      <c r="Y26" s="815"/>
      <c r="Z26" s="815"/>
      <c r="AA26" s="815"/>
      <c r="AB26" s="815"/>
      <c r="AC26" s="815"/>
      <c r="AD26" s="815"/>
      <c r="AE26" s="815"/>
      <c r="AF26" s="815"/>
      <c r="AG26" s="815"/>
      <c r="AH26" s="815"/>
      <c r="AI26" s="815"/>
      <c r="AJ26" s="816"/>
    </row>
    <row r="27" spans="1:36" ht="23.1" customHeight="1">
      <c r="A27" s="903"/>
      <c r="C27" s="47"/>
      <c r="D27" s="675"/>
      <c r="E27" s="367"/>
      <c r="F27" s="951"/>
      <c r="G27" s="951"/>
      <c r="H27" s="675"/>
      <c r="I27" s="676"/>
      <c r="J27" s="676"/>
      <c r="K27" s="676"/>
      <c r="L27" s="390"/>
      <c r="M27" s="390"/>
      <c r="N27" s="390"/>
      <c r="O27" s="390"/>
      <c r="P27" s="390"/>
      <c r="Q27" s="680"/>
      <c r="R27" s="381">
        <f t="shared" si="0"/>
        <v>0</v>
      </c>
      <c r="S27" s="683"/>
      <c r="T27" s="684"/>
      <c r="U27" s="39"/>
      <c r="W27" s="814"/>
      <c r="X27" s="815"/>
      <c r="Y27" s="815"/>
      <c r="Z27" s="815"/>
      <c r="AA27" s="815"/>
      <c r="AB27" s="815"/>
      <c r="AC27" s="815"/>
      <c r="AD27" s="815"/>
      <c r="AE27" s="815"/>
      <c r="AF27" s="815"/>
      <c r="AG27" s="815"/>
      <c r="AH27" s="815"/>
      <c r="AI27" s="815"/>
      <c r="AJ27" s="816"/>
    </row>
    <row r="28" spans="1:36" ht="23.1" customHeight="1">
      <c r="A28" s="903"/>
      <c r="C28" s="47"/>
      <c r="D28" s="675"/>
      <c r="E28" s="367"/>
      <c r="F28" s="676"/>
      <c r="G28" s="676"/>
      <c r="H28" s="675"/>
      <c r="I28" s="676"/>
      <c r="J28" s="676"/>
      <c r="K28" s="676"/>
      <c r="L28" s="390"/>
      <c r="M28" s="390"/>
      <c r="N28" s="390"/>
      <c r="O28" s="390"/>
      <c r="P28" s="390"/>
      <c r="Q28" s="680"/>
      <c r="R28" s="381">
        <f t="shared" si="0"/>
        <v>0</v>
      </c>
      <c r="S28" s="683"/>
      <c r="T28" s="684"/>
      <c r="U28" s="39"/>
      <c r="W28" s="814"/>
      <c r="X28" s="815"/>
      <c r="Y28" s="815"/>
      <c r="Z28" s="815"/>
      <c r="AA28" s="815"/>
      <c r="AB28" s="815"/>
      <c r="AC28" s="815"/>
      <c r="AD28" s="815"/>
      <c r="AE28" s="815"/>
      <c r="AF28" s="815"/>
      <c r="AG28" s="815"/>
      <c r="AH28" s="815"/>
      <c r="AI28" s="815"/>
      <c r="AJ28" s="816"/>
    </row>
    <row r="29" spans="1:36" ht="23.1" customHeight="1">
      <c r="A29" s="903"/>
      <c r="C29" s="47"/>
      <c r="D29" s="675"/>
      <c r="E29" s="367"/>
      <c r="F29" s="676"/>
      <c r="G29" s="676"/>
      <c r="H29" s="675"/>
      <c r="I29" s="676"/>
      <c r="J29" s="676"/>
      <c r="K29" s="676"/>
      <c r="L29" s="390"/>
      <c r="M29" s="390"/>
      <c r="N29" s="390"/>
      <c r="O29" s="390"/>
      <c r="P29" s="390"/>
      <c r="Q29" s="680"/>
      <c r="R29" s="381">
        <f t="shared" si="0"/>
        <v>0</v>
      </c>
      <c r="S29" s="683"/>
      <c r="T29" s="684"/>
      <c r="U29" s="39"/>
      <c r="W29" s="814"/>
      <c r="X29" s="815"/>
      <c r="Y29" s="815"/>
      <c r="Z29" s="815"/>
      <c r="AA29" s="815"/>
      <c r="AB29" s="815"/>
      <c r="AC29" s="815"/>
      <c r="AD29" s="815"/>
      <c r="AE29" s="815"/>
      <c r="AF29" s="815"/>
      <c r="AG29" s="815"/>
      <c r="AH29" s="815"/>
      <c r="AI29" s="815"/>
      <c r="AJ29" s="816"/>
    </row>
    <row r="30" spans="1:36" ht="23.1" customHeight="1">
      <c r="A30" s="903"/>
      <c r="C30" s="47"/>
      <c r="D30" s="675"/>
      <c r="E30" s="367"/>
      <c r="F30" s="676"/>
      <c r="G30" s="676"/>
      <c r="H30" s="675"/>
      <c r="I30" s="676"/>
      <c r="J30" s="676"/>
      <c r="K30" s="676"/>
      <c r="L30" s="390"/>
      <c r="M30" s="390"/>
      <c r="N30" s="390"/>
      <c r="O30" s="390"/>
      <c r="P30" s="390"/>
      <c r="Q30" s="680"/>
      <c r="R30" s="381">
        <f t="shared" si="0"/>
        <v>0</v>
      </c>
      <c r="S30" s="683"/>
      <c r="T30" s="684"/>
      <c r="U30" s="39"/>
      <c r="W30" s="814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16"/>
    </row>
    <row r="31" spans="1:36" ht="23.1" customHeight="1">
      <c r="A31" s="903"/>
      <c r="C31" s="47"/>
      <c r="D31" s="675"/>
      <c r="E31" s="367"/>
      <c r="F31" s="676"/>
      <c r="G31" s="676"/>
      <c r="H31" s="675"/>
      <c r="I31" s="676"/>
      <c r="J31" s="676"/>
      <c r="K31" s="676"/>
      <c r="L31" s="390"/>
      <c r="M31" s="390"/>
      <c r="N31" s="390"/>
      <c r="O31" s="390"/>
      <c r="P31" s="390"/>
      <c r="Q31" s="680"/>
      <c r="R31" s="381">
        <f t="shared" si="0"/>
        <v>0</v>
      </c>
      <c r="S31" s="683"/>
      <c r="T31" s="684"/>
      <c r="U31" s="39"/>
      <c r="W31" s="814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15"/>
      <c r="AJ31" s="816"/>
    </row>
    <row r="32" spans="1:36" ht="23.1" customHeight="1">
      <c r="A32" s="903"/>
      <c r="C32" s="47"/>
      <c r="D32" s="675"/>
      <c r="E32" s="367"/>
      <c r="F32" s="676"/>
      <c r="G32" s="676"/>
      <c r="H32" s="675"/>
      <c r="I32" s="676"/>
      <c r="J32" s="676"/>
      <c r="K32" s="676"/>
      <c r="L32" s="390"/>
      <c r="M32" s="390"/>
      <c r="N32" s="390"/>
      <c r="O32" s="390"/>
      <c r="P32" s="390"/>
      <c r="Q32" s="680"/>
      <c r="R32" s="381">
        <f t="shared" si="0"/>
        <v>0</v>
      </c>
      <c r="S32" s="683"/>
      <c r="T32" s="684"/>
      <c r="U32" s="39"/>
      <c r="W32" s="814"/>
      <c r="X32" s="815"/>
      <c r="Y32" s="815"/>
      <c r="Z32" s="815"/>
      <c r="AA32" s="815"/>
      <c r="AB32" s="815"/>
      <c r="AC32" s="815"/>
      <c r="AD32" s="815"/>
      <c r="AE32" s="815"/>
      <c r="AF32" s="815"/>
      <c r="AG32" s="815"/>
      <c r="AH32" s="815"/>
      <c r="AI32" s="815"/>
      <c r="AJ32" s="816"/>
    </row>
    <row r="33" spans="1:36" ht="23.1" customHeight="1">
      <c r="A33" s="903"/>
      <c r="C33" s="47"/>
      <c r="D33" s="675"/>
      <c r="E33" s="367"/>
      <c r="F33" s="676"/>
      <c r="G33" s="676"/>
      <c r="H33" s="675"/>
      <c r="I33" s="676"/>
      <c r="J33" s="676"/>
      <c r="K33" s="676"/>
      <c r="L33" s="390"/>
      <c r="M33" s="390"/>
      <c r="N33" s="390"/>
      <c r="O33" s="390"/>
      <c r="P33" s="390"/>
      <c r="Q33" s="680"/>
      <c r="R33" s="381">
        <f>M33+N33-O33</f>
        <v>0</v>
      </c>
      <c r="S33" s="683"/>
      <c r="T33" s="684"/>
      <c r="U33" s="39"/>
      <c r="W33" s="814"/>
      <c r="X33" s="815"/>
      <c r="Y33" s="815"/>
      <c r="Z33" s="815"/>
      <c r="AA33" s="815"/>
      <c r="AB33" s="815"/>
      <c r="AC33" s="815"/>
      <c r="AD33" s="815"/>
      <c r="AE33" s="815"/>
      <c r="AF33" s="815"/>
      <c r="AG33" s="815"/>
      <c r="AH33" s="815"/>
      <c r="AI33" s="815"/>
      <c r="AJ33" s="816"/>
    </row>
    <row r="34" spans="1:36" ht="23.1" customHeight="1">
      <c r="A34" s="903"/>
      <c r="C34" s="47"/>
      <c r="D34" s="675"/>
      <c r="E34" s="367"/>
      <c r="F34" s="676"/>
      <c r="G34" s="676"/>
      <c r="H34" s="675"/>
      <c r="I34" s="676"/>
      <c r="J34" s="676"/>
      <c r="K34" s="676"/>
      <c r="L34" s="390"/>
      <c r="M34" s="390"/>
      <c r="N34" s="390"/>
      <c r="O34" s="390"/>
      <c r="P34" s="390"/>
      <c r="Q34" s="680"/>
      <c r="R34" s="381">
        <f t="shared" si="0"/>
        <v>0</v>
      </c>
      <c r="S34" s="683"/>
      <c r="T34" s="684"/>
      <c r="U34" s="39"/>
      <c r="W34" s="814"/>
      <c r="X34" s="815"/>
      <c r="Y34" s="815"/>
      <c r="Z34" s="815"/>
      <c r="AA34" s="815"/>
      <c r="AB34" s="815"/>
      <c r="AC34" s="815"/>
      <c r="AD34" s="815"/>
      <c r="AE34" s="815"/>
      <c r="AF34" s="815"/>
      <c r="AG34" s="815"/>
      <c r="AH34" s="815"/>
      <c r="AI34" s="815"/>
      <c r="AJ34" s="816"/>
    </row>
    <row r="35" spans="1:36" ht="23.1" customHeight="1">
      <c r="A35" s="975"/>
      <c r="C35" s="47"/>
      <c r="D35" s="675"/>
      <c r="E35" s="367"/>
      <c r="F35" s="676"/>
      <c r="G35" s="676"/>
      <c r="H35" s="675"/>
      <c r="I35" s="676"/>
      <c r="J35" s="676"/>
      <c r="K35" s="676"/>
      <c r="L35" s="390"/>
      <c r="M35" s="390"/>
      <c r="N35" s="390"/>
      <c r="O35" s="390"/>
      <c r="P35" s="390"/>
      <c r="Q35" s="680"/>
      <c r="R35" s="381">
        <f t="shared" si="0"/>
        <v>0</v>
      </c>
      <c r="S35" s="683"/>
      <c r="T35" s="684"/>
      <c r="U35" s="39"/>
      <c r="W35" s="814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6"/>
    </row>
    <row r="36" spans="1:36" ht="23.1" customHeight="1">
      <c r="A36" s="975"/>
      <c r="C36" s="47"/>
      <c r="D36" s="675"/>
      <c r="E36" s="367"/>
      <c r="F36" s="676"/>
      <c r="G36" s="676"/>
      <c r="H36" s="675"/>
      <c r="I36" s="676"/>
      <c r="J36" s="676"/>
      <c r="K36" s="676"/>
      <c r="L36" s="390"/>
      <c r="M36" s="390"/>
      <c r="N36" s="390"/>
      <c r="O36" s="390"/>
      <c r="P36" s="390"/>
      <c r="Q36" s="680"/>
      <c r="R36" s="381">
        <f t="shared" si="0"/>
        <v>0</v>
      </c>
      <c r="S36" s="683"/>
      <c r="T36" s="684"/>
      <c r="U36" s="39"/>
      <c r="W36" s="814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6"/>
    </row>
    <row r="37" spans="1:36" ht="23.1" customHeight="1">
      <c r="A37" s="903"/>
      <c r="C37" s="47"/>
      <c r="D37" s="675"/>
      <c r="E37" s="367"/>
      <c r="F37" s="676"/>
      <c r="G37" s="676"/>
      <c r="H37" s="675"/>
      <c r="I37" s="676"/>
      <c r="J37" s="676"/>
      <c r="K37" s="676"/>
      <c r="L37" s="390"/>
      <c r="M37" s="390"/>
      <c r="N37" s="390"/>
      <c r="O37" s="390"/>
      <c r="P37" s="390"/>
      <c r="Q37" s="680"/>
      <c r="R37" s="381">
        <f t="shared" si="0"/>
        <v>0</v>
      </c>
      <c r="S37" s="683"/>
      <c r="T37" s="684"/>
      <c r="U37" s="39"/>
      <c r="W37" s="814"/>
      <c r="X37" s="815"/>
      <c r="Y37" s="815"/>
      <c r="Z37" s="815"/>
      <c r="AA37" s="815"/>
      <c r="AB37" s="815"/>
      <c r="AC37" s="815"/>
      <c r="AD37" s="815"/>
      <c r="AE37" s="815"/>
      <c r="AF37" s="815"/>
      <c r="AG37" s="815"/>
      <c r="AH37" s="815"/>
      <c r="AI37" s="815"/>
      <c r="AJ37" s="816"/>
    </row>
    <row r="38" spans="1:36" ht="23.1" customHeight="1">
      <c r="A38" s="903"/>
      <c r="C38" s="47"/>
      <c r="D38" s="675"/>
      <c r="E38" s="367"/>
      <c r="F38" s="676"/>
      <c r="G38" s="676"/>
      <c r="H38" s="675"/>
      <c r="I38" s="676"/>
      <c r="J38" s="676"/>
      <c r="K38" s="676"/>
      <c r="L38" s="390"/>
      <c r="M38" s="390"/>
      <c r="N38" s="390"/>
      <c r="O38" s="390"/>
      <c r="P38" s="390"/>
      <c r="Q38" s="680"/>
      <c r="R38" s="381">
        <f t="shared" si="0"/>
        <v>0</v>
      </c>
      <c r="S38" s="683"/>
      <c r="T38" s="684"/>
      <c r="U38" s="39"/>
      <c r="W38" s="814"/>
      <c r="X38" s="815"/>
      <c r="Y38" s="815"/>
      <c r="Z38" s="815"/>
      <c r="AA38" s="815"/>
      <c r="AB38" s="815"/>
      <c r="AC38" s="815"/>
      <c r="AD38" s="815"/>
      <c r="AE38" s="815"/>
      <c r="AF38" s="815"/>
      <c r="AG38" s="815"/>
      <c r="AH38" s="815"/>
      <c r="AI38" s="815"/>
      <c r="AJ38" s="816"/>
    </row>
    <row r="39" spans="1:36" ht="23.1" customHeight="1">
      <c r="A39" s="903"/>
      <c r="C39" s="47"/>
      <c r="D39" s="675"/>
      <c r="E39" s="367"/>
      <c r="F39" s="676"/>
      <c r="G39" s="676"/>
      <c r="H39" s="675"/>
      <c r="I39" s="676"/>
      <c r="J39" s="676"/>
      <c r="K39" s="676"/>
      <c r="L39" s="390"/>
      <c r="M39" s="390"/>
      <c r="N39" s="390"/>
      <c r="O39" s="390"/>
      <c r="P39" s="390"/>
      <c r="Q39" s="680"/>
      <c r="R39" s="381">
        <f t="shared" si="0"/>
        <v>0</v>
      </c>
      <c r="S39" s="683"/>
      <c r="T39" s="684"/>
      <c r="U39" s="39"/>
      <c r="W39" s="814"/>
      <c r="X39" s="815"/>
      <c r="Y39" s="815"/>
      <c r="Z39" s="815"/>
      <c r="AA39" s="815"/>
      <c r="AB39" s="815"/>
      <c r="AC39" s="815"/>
      <c r="AD39" s="815"/>
      <c r="AE39" s="815"/>
      <c r="AF39" s="815"/>
      <c r="AG39" s="815"/>
      <c r="AH39" s="815"/>
      <c r="AI39" s="815"/>
      <c r="AJ39" s="816"/>
    </row>
    <row r="40" spans="1:36" ht="23.1" customHeight="1">
      <c r="A40" s="903"/>
      <c r="C40" s="47"/>
      <c r="D40" s="675"/>
      <c r="E40" s="367"/>
      <c r="F40" s="676"/>
      <c r="G40" s="676"/>
      <c r="H40" s="675"/>
      <c r="I40" s="676"/>
      <c r="J40" s="676"/>
      <c r="K40" s="676"/>
      <c r="L40" s="390"/>
      <c r="M40" s="390"/>
      <c r="N40" s="390"/>
      <c r="O40" s="390"/>
      <c r="P40" s="390"/>
      <c r="Q40" s="680"/>
      <c r="R40" s="381">
        <f t="shared" si="0"/>
        <v>0</v>
      </c>
      <c r="S40" s="683"/>
      <c r="T40" s="684"/>
      <c r="U40" s="39"/>
      <c r="W40" s="814"/>
      <c r="X40" s="815"/>
      <c r="Y40" s="815"/>
      <c r="Z40" s="815"/>
      <c r="AA40" s="815"/>
      <c r="AB40" s="815"/>
      <c r="AC40" s="815"/>
      <c r="AD40" s="815"/>
      <c r="AE40" s="815"/>
      <c r="AF40" s="815"/>
      <c r="AG40" s="815"/>
      <c r="AH40" s="815"/>
      <c r="AI40" s="815"/>
      <c r="AJ40" s="816"/>
    </row>
    <row r="41" spans="1:36" ht="23.1" customHeight="1">
      <c r="A41" s="903"/>
      <c r="C41" s="47"/>
      <c r="D41" s="675"/>
      <c r="E41" s="685"/>
      <c r="F41" s="686"/>
      <c r="G41" s="686"/>
      <c r="H41" s="687"/>
      <c r="I41" s="686"/>
      <c r="J41" s="686"/>
      <c r="K41" s="686"/>
      <c r="L41" s="635"/>
      <c r="M41" s="635"/>
      <c r="N41" s="635"/>
      <c r="O41" s="635"/>
      <c r="P41" s="635"/>
      <c r="Q41" s="689"/>
      <c r="R41" s="382">
        <f>M41+N41-O41</f>
        <v>0</v>
      </c>
      <c r="S41" s="683"/>
      <c r="T41" s="684"/>
      <c r="U41" s="39"/>
      <c r="W41" s="814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6"/>
    </row>
    <row r="42" spans="1:36" ht="23.1" customHeight="1">
      <c r="A42" s="903"/>
      <c r="C42" s="47"/>
      <c r="D42" s="690"/>
      <c r="E42" s="691"/>
      <c r="F42" s="692"/>
      <c r="G42" s="692"/>
      <c r="H42" s="690"/>
      <c r="I42" s="692"/>
      <c r="J42" s="692"/>
      <c r="K42" s="692"/>
      <c r="L42" s="638"/>
      <c r="M42" s="638"/>
      <c r="N42" s="638"/>
      <c r="O42" s="638"/>
      <c r="P42" s="638"/>
      <c r="Q42" s="694"/>
      <c r="R42" s="383">
        <f t="shared" si="0"/>
        <v>0</v>
      </c>
      <c r="S42" s="695"/>
      <c r="T42" s="696"/>
      <c r="U42" s="39"/>
      <c r="W42" s="814"/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6"/>
    </row>
    <row r="43" spans="1:36" ht="23.1" customHeight="1" thickBot="1">
      <c r="A43" s="903"/>
      <c r="C43" s="47"/>
      <c r="D43" s="632"/>
      <c r="E43" s="632"/>
      <c r="F43" s="99"/>
      <c r="G43" s="99"/>
      <c r="H43" s="99"/>
      <c r="I43" s="1227" t="s">
        <v>629</v>
      </c>
      <c r="J43" s="1228"/>
      <c r="K43" s="1229"/>
      <c r="L43" s="116">
        <f t="shared" ref="L43:T43" si="1">SUM(L18:L42)</f>
        <v>0</v>
      </c>
      <c r="M43" s="109">
        <f t="shared" si="1"/>
        <v>0</v>
      </c>
      <c r="N43" s="115">
        <f t="shared" si="1"/>
        <v>0</v>
      </c>
      <c r="O43" s="115">
        <f t="shared" si="1"/>
        <v>0</v>
      </c>
      <c r="P43" s="116">
        <f t="shared" si="1"/>
        <v>0</v>
      </c>
      <c r="Q43" s="116">
        <f t="shared" si="1"/>
        <v>0</v>
      </c>
      <c r="R43" s="384">
        <f t="shared" si="1"/>
        <v>0</v>
      </c>
      <c r="S43" s="115">
        <f t="shared" si="1"/>
        <v>0</v>
      </c>
      <c r="T43" s="70">
        <f t="shared" si="1"/>
        <v>0</v>
      </c>
      <c r="U43" s="39"/>
      <c r="W43" s="817"/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6"/>
    </row>
    <row r="44" spans="1:36" ht="23.1" customHeight="1">
      <c r="A44" s="903"/>
      <c r="C44" s="47"/>
      <c r="D44" s="632"/>
      <c r="E44" s="632"/>
      <c r="F44" s="99"/>
      <c r="G44" s="99"/>
      <c r="H44" s="99"/>
      <c r="I44" s="292"/>
      <c r="J44" s="292"/>
      <c r="K44" s="292"/>
      <c r="L44" s="99"/>
      <c r="M44" s="99"/>
      <c r="N44" s="99"/>
      <c r="O44" s="99"/>
      <c r="P44" s="99"/>
      <c r="Q44" s="99"/>
      <c r="R44" s="99"/>
      <c r="S44" s="99"/>
      <c r="T44" s="99"/>
      <c r="U44" s="39"/>
      <c r="W44" s="817"/>
      <c r="X44" s="815"/>
      <c r="Y44" s="815"/>
      <c r="Z44" s="815"/>
      <c r="AA44" s="815"/>
      <c r="AB44" s="815"/>
      <c r="AC44" s="815"/>
      <c r="AD44" s="815"/>
      <c r="AE44" s="815"/>
      <c r="AF44" s="815"/>
      <c r="AG44" s="815"/>
      <c r="AH44" s="815"/>
      <c r="AI44" s="815"/>
      <c r="AJ44" s="816"/>
    </row>
    <row r="45" spans="1:36" ht="23.1" customHeight="1">
      <c r="A45" s="903"/>
      <c r="C45" s="47"/>
      <c r="D45" s="28" t="s">
        <v>630</v>
      </c>
      <c r="E45" s="604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9"/>
      <c r="W45" s="814"/>
      <c r="X45" s="815"/>
      <c r="Y45" s="815"/>
      <c r="Z45" s="815"/>
      <c r="AA45" s="815"/>
      <c r="AB45" s="815"/>
      <c r="AC45" s="815"/>
      <c r="AD45" s="815"/>
      <c r="AE45" s="815"/>
      <c r="AF45" s="815"/>
      <c r="AG45" s="815"/>
      <c r="AH45" s="815"/>
      <c r="AI45" s="815"/>
      <c r="AJ45" s="816"/>
    </row>
    <row r="46" spans="1:36" ht="23.1" customHeight="1">
      <c r="A46" s="903"/>
      <c r="C46" s="47"/>
      <c r="D46" s="604"/>
      <c r="E46" s="604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9"/>
      <c r="W46" s="814"/>
      <c r="X46" s="815"/>
      <c r="Y46" s="815"/>
      <c r="Z46" s="815"/>
      <c r="AA46" s="815"/>
      <c r="AB46" s="815"/>
      <c r="AC46" s="815"/>
      <c r="AD46" s="815"/>
      <c r="AE46" s="815"/>
      <c r="AF46" s="815"/>
      <c r="AG46" s="815"/>
      <c r="AH46" s="815"/>
      <c r="AI46" s="815"/>
      <c r="AJ46" s="816"/>
    </row>
    <row r="47" spans="1:36" ht="23.1" customHeight="1">
      <c r="A47" s="903"/>
      <c r="C47" s="47"/>
      <c r="D47" s="667" t="s">
        <v>631</v>
      </c>
      <c r="E47" s="668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70"/>
      <c r="U47" s="39"/>
      <c r="W47" s="814"/>
      <c r="X47" s="815"/>
      <c r="Y47" s="815"/>
      <c r="Z47" s="815"/>
      <c r="AA47" s="815"/>
      <c r="AB47" s="815"/>
      <c r="AC47" s="815"/>
      <c r="AD47" s="815"/>
      <c r="AE47" s="815"/>
      <c r="AF47" s="815"/>
      <c r="AG47" s="815"/>
      <c r="AH47" s="815"/>
      <c r="AI47" s="815"/>
      <c r="AJ47" s="816"/>
    </row>
    <row r="48" spans="1:36" ht="42" customHeight="1">
      <c r="A48" s="903"/>
      <c r="C48" s="47"/>
      <c r="D48" s="124" t="s">
        <v>632</v>
      </c>
      <c r="E48" s="125" t="s">
        <v>633</v>
      </c>
      <c r="F48" s="124" t="s">
        <v>634</v>
      </c>
      <c r="G48" s="124" t="s">
        <v>635</v>
      </c>
      <c r="H48" s="124" t="s">
        <v>608</v>
      </c>
      <c r="I48" s="124" t="s">
        <v>609</v>
      </c>
      <c r="J48" s="86"/>
      <c r="K48" s="86"/>
      <c r="L48" s="124" t="s">
        <v>612</v>
      </c>
      <c r="M48" s="124" t="s">
        <v>613</v>
      </c>
      <c r="N48" s="671" t="s">
        <v>636</v>
      </c>
      <c r="O48" s="377" t="s">
        <v>637</v>
      </c>
      <c r="P48" s="672" t="s">
        <v>638</v>
      </c>
      <c r="Q48" s="673" t="s">
        <v>639</v>
      </c>
      <c r="R48" s="124" t="s">
        <v>613</v>
      </c>
      <c r="S48" s="1206" t="s">
        <v>618</v>
      </c>
      <c r="T48" s="1207"/>
      <c r="U48" s="39"/>
      <c r="W48" s="814"/>
      <c r="X48" s="815"/>
      <c r="Y48" s="815"/>
      <c r="Z48" s="815"/>
      <c r="AA48" s="815"/>
      <c r="AB48" s="815"/>
      <c r="AC48" s="815"/>
      <c r="AD48" s="815"/>
      <c r="AE48" s="815"/>
      <c r="AF48" s="815"/>
      <c r="AG48" s="815"/>
      <c r="AH48" s="815"/>
      <c r="AI48" s="815"/>
      <c r="AJ48" s="816"/>
    </row>
    <row r="49" spans="1:39" ht="23.1" customHeight="1">
      <c r="A49" s="903"/>
      <c r="C49" s="47"/>
      <c r="D49" s="126" t="s">
        <v>619</v>
      </c>
      <c r="E49" s="127" t="s">
        <v>640</v>
      </c>
      <c r="F49" s="126" t="s">
        <v>620</v>
      </c>
      <c r="G49" s="126" t="s">
        <v>641</v>
      </c>
      <c r="H49" s="126" t="s">
        <v>642</v>
      </c>
      <c r="I49" s="126" t="s">
        <v>623</v>
      </c>
      <c r="J49" s="674"/>
      <c r="K49" s="126"/>
      <c r="L49" s="126" t="s">
        <v>626</v>
      </c>
      <c r="M49" s="126">
        <f>ejercicio-1</f>
        <v>2021</v>
      </c>
      <c r="N49" s="126">
        <f>ejercicio</f>
        <v>2022</v>
      </c>
      <c r="O49" s="126">
        <f>ejercicio</f>
        <v>2022</v>
      </c>
      <c r="P49" s="126">
        <f>ejercicio</f>
        <v>2022</v>
      </c>
      <c r="Q49" s="126">
        <f>ejercicio</f>
        <v>2022</v>
      </c>
      <c r="R49" s="126">
        <f>ejercicio</f>
        <v>2022</v>
      </c>
      <c r="S49" s="379" t="s">
        <v>643</v>
      </c>
      <c r="T49" s="380" t="s">
        <v>644</v>
      </c>
      <c r="U49" s="39"/>
      <c r="W49" s="814"/>
      <c r="X49" s="815"/>
      <c r="Y49" s="815"/>
      <c r="Z49" s="815"/>
      <c r="AA49" s="815"/>
      <c r="AB49" s="815"/>
      <c r="AC49" s="815"/>
      <c r="AD49" s="815"/>
      <c r="AE49" s="815"/>
      <c r="AF49" s="815"/>
      <c r="AG49" s="815"/>
      <c r="AH49" s="815"/>
      <c r="AI49" s="815"/>
      <c r="AJ49" s="816"/>
    </row>
    <row r="50" spans="1:39" ht="23.1" customHeight="1">
      <c r="A50" s="903"/>
      <c r="C50" s="47"/>
      <c r="D50" s="675" t="s">
        <v>645</v>
      </c>
      <c r="E50" s="367" t="s">
        <v>646</v>
      </c>
      <c r="F50" s="951">
        <v>43826</v>
      </c>
      <c r="G50" s="951">
        <v>44773</v>
      </c>
      <c r="H50" s="675" t="s">
        <v>39</v>
      </c>
      <c r="I50" s="676">
        <v>522</v>
      </c>
      <c r="J50" s="677"/>
      <c r="K50" s="678"/>
      <c r="L50" s="390">
        <v>180000</v>
      </c>
      <c r="M50" s="390">
        <v>80000</v>
      </c>
      <c r="N50" s="679"/>
      <c r="O50" s="679"/>
      <c r="P50" s="679">
        <v>80000</v>
      </c>
      <c r="Q50" s="680"/>
      <c r="R50" s="381">
        <f>M50+N50-O50-P50</f>
        <v>0</v>
      </c>
      <c r="S50" s="681"/>
      <c r="T50" s="682"/>
      <c r="U50" s="39"/>
      <c r="W50" s="814"/>
      <c r="X50" s="815"/>
      <c r="Y50" s="815"/>
      <c r="Z50" s="815"/>
      <c r="AA50" s="815"/>
      <c r="AB50" s="815"/>
      <c r="AC50" s="815"/>
      <c r="AD50" s="815"/>
      <c r="AE50" s="815"/>
      <c r="AF50" s="815"/>
      <c r="AG50" s="815"/>
      <c r="AH50" s="815"/>
      <c r="AI50" s="815"/>
      <c r="AJ50" s="816"/>
      <c r="AM50" s="32" t="s">
        <v>645</v>
      </c>
    </row>
    <row r="51" spans="1:39" ht="23.1" customHeight="1">
      <c r="A51" s="903"/>
      <c r="C51" s="47"/>
      <c r="D51" s="675"/>
      <c r="E51" s="367"/>
      <c r="F51" s="951"/>
      <c r="G51" s="951"/>
      <c r="H51" s="675"/>
      <c r="I51" s="676"/>
      <c r="J51" s="677"/>
      <c r="K51" s="677"/>
      <c r="L51" s="390"/>
      <c r="M51" s="390"/>
      <c r="N51" s="390"/>
      <c r="O51" s="390"/>
      <c r="P51" s="390"/>
      <c r="Q51" s="680"/>
      <c r="R51" s="381">
        <f t="shared" ref="R51:R74" si="2">M51+N51-O51-P51</f>
        <v>0</v>
      </c>
      <c r="S51" s="683"/>
      <c r="T51" s="684"/>
      <c r="U51" s="39"/>
      <c r="W51" s="814"/>
      <c r="X51" s="815"/>
      <c r="Y51" s="815"/>
      <c r="Z51" s="815"/>
      <c r="AA51" s="815"/>
      <c r="AB51" s="815"/>
      <c r="AC51" s="815"/>
      <c r="AD51" s="815"/>
      <c r="AE51" s="815"/>
      <c r="AF51" s="815"/>
      <c r="AG51" s="815"/>
      <c r="AH51" s="815"/>
      <c r="AI51" s="815"/>
      <c r="AJ51" s="816"/>
      <c r="AM51" s="32" t="s">
        <v>647</v>
      </c>
    </row>
    <row r="52" spans="1:39" ht="23.1" customHeight="1">
      <c r="A52" s="903"/>
      <c r="C52" s="47"/>
      <c r="D52" s="675"/>
      <c r="E52" s="367"/>
      <c r="F52" s="855"/>
      <c r="G52" s="676"/>
      <c r="H52" s="675"/>
      <c r="I52" s="676"/>
      <c r="J52" s="677"/>
      <c r="K52" s="677"/>
      <c r="L52" s="390"/>
      <c r="M52" s="390"/>
      <c r="N52" s="390"/>
      <c r="O52" s="390"/>
      <c r="P52" s="390"/>
      <c r="Q52" s="680"/>
      <c r="R52" s="381">
        <f t="shared" si="2"/>
        <v>0</v>
      </c>
      <c r="S52" s="683"/>
      <c r="T52" s="684"/>
      <c r="U52" s="39"/>
      <c r="W52" s="814"/>
      <c r="X52" s="815"/>
      <c r="Y52" s="815"/>
      <c r="Z52" s="815"/>
      <c r="AA52" s="815"/>
      <c r="AB52" s="815"/>
      <c r="AC52" s="815"/>
      <c r="AD52" s="815"/>
      <c r="AE52" s="815"/>
      <c r="AF52" s="815"/>
      <c r="AG52" s="815"/>
      <c r="AH52" s="815"/>
      <c r="AI52" s="815"/>
      <c r="AJ52" s="816"/>
    </row>
    <row r="53" spans="1:39" ht="23.1" customHeight="1">
      <c r="A53" s="903"/>
      <c r="C53" s="47"/>
      <c r="D53" s="675"/>
      <c r="E53" s="367"/>
      <c r="F53" s="855"/>
      <c r="G53" s="676"/>
      <c r="H53" s="675"/>
      <c r="I53" s="676"/>
      <c r="J53" s="677"/>
      <c r="K53" s="677"/>
      <c r="L53" s="390"/>
      <c r="M53" s="390"/>
      <c r="N53" s="390"/>
      <c r="O53" s="390"/>
      <c r="P53" s="390"/>
      <c r="Q53" s="680"/>
      <c r="R53" s="381">
        <f t="shared" si="2"/>
        <v>0</v>
      </c>
      <c r="S53" s="683"/>
      <c r="T53" s="684"/>
      <c r="U53" s="39"/>
      <c r="W53" s="814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5"/>
      <c r="AJ53" s="816"/>
    </row>
    <row r="54" spans="1:39" ht="23.1" customHeight="1">
      <c r="A54" s="903"/>
      <c r="C54" s="47"/>
      <c r="D54" s="675"/>
      <c r="E54" s="367"/>
      <c r="F54" s="855"/>
      <c r="G54" s="676"/>
      <c r="H54" s="675"/>
      <c r="I54" s="676"/>
      <c r="J54" s="677"/>
      <c r="K54" s="677"/>
      <c r="L54" s="390"/>
      <c r="M54" s="390"/>
      <c r="N54" s="390"/>
      <c r="O54" s="390"/>
      <c r="P54" s="390"/>
      <c r="Q54" s="680"/>
      <c r="R54" s="381">
        <f t="shared" si="2"/>
        <v>0</v>
      </c>
      <c r="S54" s="683"/>
      <c r="T54" s="684"/>
      <c r="U54" s="39"/>
      <c r="W54" s="814"/>
      <c r="X54" s="815"/>
      <c r="Y54" s="815"/>
      <c r="Z54" s="815"/>
      <c r="AA54" s="815"/>
      <c r="AB54" s="815"/>
      <c r="AC54" s="815"/>
      <c r="AD54" s="815"/>
      <c r="AE54" s="815"/>
      <c r="AF54" s="815"/>
      <c r="AG54" s="815"/>
      <c r="AH54" s="815"/>
      <c r="AI54" s="815"/>
      <c r="AJ54" s="816"/>
    </row>
    <row r="55" spans="1:39" ht="23.1" customHeight="1">
      <c r="A55" s="903"/>
      <c r="C55" s="47"/>
      <c r="D55" s="675"/>
      <c r="E55" s="367"/>
      <c r="F55" s="855"/>
      <c r="G55" s="676"/>
      <c r="H55" s="675"/>
      <c r="I55" s="676"/>
      <c r="J55" s="677"/>
      <c r="K55" s="677"/>
      <c r="L55" s="390"/>
      <c r="M55" s="390"/>
      <c r="N55" s="390"/>
      <c r="O55" s="390"/>
      <c r="P55" s="390"/>
      <c r="Q55" s="680"/>
      <c r="R55" s="381">
        <f t="shared" si="2"/>
        <v>0</v>
      </c>
      <c r="S55" s="683"/>
      <c r="T55" s="684"/>
      <c r="U55" s="39"/>
      <c r="W55" s="814"/>
      <c r="X55" s="815"/>
      <c r="Y55" s="815"/>
      <c r="Z55" s="815"/>
      <c r="AA55" s="815"/>
      <c r="AB55" s="815"/>
      <c r="AC55" s="815"/>
      <c r="AD55" s="815"/>
      <c r="AE55" s="815"/>
      <c r="AF55" s="815"/>
      <c r="AG55" s="815"/>
      <c r="AH55" s="815"/>
      <c r="AI55" s="815"/>
      <c r="AJ55" s="816"/>
    </row>
    <row r="56" spans="1:39" ht="23.1" customHeight="1">
      <c r="A56" s="903"/>
      <c r="C56" s="47"/>
      <c r="D56" s="675"/>
      <c r="E56" s="367"/>
      <c r="F56" s="855"/>
      <c r="G56" s="676"/>
      <c r="H56" s="675"/>
      <c r="I56" s="676"/>
      <c r="J56" s="677"/>
      <c r="K56" s="677"/>
      <c r="L56" s="390"/>
      <c r="M56" s="390"/>
      <c r="N56" s="390"/>
      <c r="O56" s="390"/>
      <c r="P56" s="390"/>
      <c r="Q56" s="680"/>
      <c r="R56" s="381">
        <f t="shared" si="2"/>
        <v>0</v>
      </c>
      <c r="S56" s="683"/>
      <c r="T56" s="684"/>
      <c r="U56" s="39"/>
      <c r="W56" s="814"/>
      <c r="X56" s="815"/>
      <c r="Y56" s="815"/>
      <c r="Z56" s="815"/>
      <c r="AA56" s="815"/>
      <c r="AB56" s="815"/>
      <c r="AC56" s="815"/>
      <c r="AD56" s="815"/>
      <c r="AE56" s="815"/>
      <c r="AF56" s="815"/>
      <c r="AG56" s="815"/>
      <c r="AH56" s="815"/>
      <c r="AI56" s="815"/>
      <c r="AJ56" s="816"/>
    </row>
    <row r="57" spans="1:39" ht="23.1" customHeight="1">
      <c r="A57" s="903"/>
      <c r="C57" s="47"/>
      <c r="D57" s="675"/>
      <c r="E57" s="367"/>
      <c r="F57" s="855"/>
      <c r="G57" s="676"/>
      <c r="H57" s="675"/>
      <c r="I57" s="676"/>
      <c r="J57" s="677"/>
      <c r="K57" s="677"/>
      <c r="L57" s="390"/>
      <c r="M57" s="390"/>
      <c r="N57" s="390"/>
      <c r="O57" s="390"/>
      <c r="P57" s="390"/>
      <c r="Q57" s="680"/>
      <c r="R57" s="381">
        <f t="shared" si="2"/>
        <v>0</v>
      </c>
      <c r="S57" s="683"/>
      <c r="T57" s="684"/>
      <c r="U57" s="39"/>
      <c r="W57" s="814"/>
      <c r="X57" s="815"/>
      <c r="Y57" s="815"/>
      <c r="Z57" s="815"/>
      <c r="AA57" s="815"/>
      <c r="AB57" s="815"/>
      <c r="AC57" s="815"/>
      <c r="AD57" s="815"/>
      <c r="AE57" s="815"/>
      <c r="AF57" s="815"/>
      <c r="AG57" s="815"/>
      <c r="AH57" s="815"/>
      <c r="AI57" s="815"/>
      <c r="AJ57" s="816"/>
    </row>
    <row r="58" spans="1:39" ht="23.1" customHeight="1">
      <c r="A58" s="903"/>
      <c r="C58" s="47"/>
      <c r="D58" s="675"/>
      <c r="E58" s="367"/>
      <c r="F58" s="855"/>
      <c r="G58" s="676"/>
      <c r="H58" s="675"/>
      <c r="I58" s="676"/>
      <c r="J58" s="677"/>
      <c r="K58" s="677"/>
      <c r="L58" s="390"/>
      <c r="M58" s="390"/>
      <c r="N58" s="390"/>
      <c r="O58" s="390"/>
      <c r="P58" s="390"/>
      <c r="Q58" s="680"/>
      <c r="R58" s="381">
        <f t="shared" si="2"/>
        <v>0</v>
      </c>
      <c r="S58" s="683"/>
      <c r="T58" s="684"/>
      <c r="U58" s="39"/>
      <c r="W58" s="814"/>
      <c r="X58" s="815"/>
      <c r="Y58" s="815"/>
      <c r="Z58" s="815"/>
      <c r="AA58" s="815"/>
      <c r="AB58" s="815"/>
      <c r="AC58" s="815"/>
      <c r="AD58" s="815"/>
      <c r="AE58" s="815"/>
      <c r="AF58" s="815"/>
      <c r="AG58" s="815"/>
      <c r="AH58" s="815"/>
      <c r="AI58" s="815"/>
      <c r="AJ58" s="816"/>
    </row>
    <row r="59" spans="1:39" ht="23.1" customHeight="1">
      <c r="A59" s="903"/>
      <c r="C59" s="47"/>
      <c r="D59" s="675"/>
      <c r="E59" s="367"/>
      <c r="F59" s="855"/>
      <c r="G59" s="676"/>
      <c r="H59" s="675"/>
      <c r="I59" s="676"/>
      <c r="J59" s="677"/>
      <c r="K59" s="677"/>
      <c r="L59" s="390"/>
      <c r="M59" s="390"/>
      <c r="N59" s="390"/>
      <c r="O59" s="390"/>
      <c r="P59" s="390"/>
      <c r="Q59" s="680"/>
      <c r="R59" s="381">
        <f t="shared" si="2"/>
        <v>0</v>
      </c>
      <c r="S59" s="683"/>
      <c r="T59" s="684"/>
      <c r="U59" s="39"/>
      <c r="W59" s="814"/>
      <c r="X59" s="815"/>
      <c r="Y59" s="815"/>
      <c r="Z59" s="815"/>
      <c r="AA59" s="815"/>
      <c r="AB59" s="815"/>
      <c r="AC59" s="815"/>
      <c r="AD59" s="815"/>
      <c r="AE59" s="815"/>
      <c r="AF59" s="815"/>
      <c r="AG59" s="815"/>
      <c r="AH59" s="815"/>
      <c r="AI59" s="815"/>
      <c r="AJ59" s="816"/>
    </row>
    <row r="60" spans="1:39" ht="23.1" customHeight="1">
      <c r="A60" s="903"/>
      <c r="C60" s="47"/>
      <c r="D60" s="675"/>
      <c r="E60" s="367"/>
      <c r="F60" s="855"/>
      <c r="G60" s="676"/>
      <c r="H60" s="675"/>
      <c r="I60" s="676"/>
      <c r="J60" s="677"/>
      <c r="K60" s="677"/>
      <c r="L60" s="390"/>
      <c r="M60" s="390"/>
      <c r="N60" s="390"/>
      <c r="O60" s="390"/>
      <c r="P60" s="390"/>
      <c r="Q60" s="680"/>
      <c r="R60" s="381">
        <f t="shared" si="2"/>
        <v>0</v>
      </c>
      <c r="S60" s="683"/>
      <c r="T60" s="684"/>
      <c r="U60" s="39"/>
      <c r="W60" s="814"/>
      <c r="X60" s="815"/>
      <c r="Y60" s="815"/>
      <c r="Z60" s="815"/>
      <c r="AA60" s="815"/>
      <c r="AB60" s="815"/>
      <c r="AC60" s="815"/>
      <c r="AD60" s="815"/>
      <c r="AE60" s="815"/>
      <c r="AF60" s="815"/>
      <c r="AG60" s="815"/>
      <c r="AH60" s="815"/>
      <c r="AI60" s="815"/>
      <c r="AJ60" s="816"/>
    </row>
    <row r="61" spans="1:39" ht="23.1" customHeight="1">
      <c r="A61" s="975"/>
      <c r="C61" s="47"/>
      <c r="D61" s="675"/>
      <c r="E61" s="367"/>
      <c r="F61" s="855"/>
      <c r="G61" s="676"/>
      <c r="H61" s="675"/>
      <c r="I61" s="676"/>
      <c r="J61" s="677"/>
      <c r="K61" s="677"/>
      <c r="L61" s="390"/>
      <c r="M61" s="390"/>
      <c r="N61" s="390"/>
      <c r="O61" s="390"/>
      <c r="P61" s="390"/>
      <c r="Q61" s="680"/>
      <c r="R61" s="381">
        <f t="shared" si="2"/>
        <v>0</v>
      </c>
      <c r="S61" s="683"/>
      <c r="T61" s="684"/>
      <c r="U61" s="39"/>
      <c r="W61" s="814"/>
      <c r="X61" s="815"/>
      <c r="Y61" s="815"/>
      <c r="Z61" s="815"/>
      <c r="AA61" s="815"/>
      <c r="AB61" s="815"/>
      <c r="AC61" s="815"/>
      <c r="AD61" s="815"/>
      <c r="AE61" s="815"/>
      <c r="AF61" s="815"/>
      <c r="AG61" s="815"/>
      <c r="AH61" s="815"/>
      <c r="AI61" s="815"/>
      <c r="AJ61" s="816"/>
    </row>
    <row r="62" spans="1:39" ht="23.1" customHeight="1">
      <c r="A62" s="975"/>
      <c r="C62" s="47"/>
      <c r="D62" s="675"/>
      <c r="E62" s="367"/>
      <c r="F62" s="855"/>
      <c r="G62" s="676"/>
      <c r="H62" s="675"/>
      <c r="I62" s="676"/>
      <c r="J62" s="677"/>
      <c r="K62" s="677"/>
      <c r="L62" s="390"/>
      <c r="M62" s="390"/>
      <c r="N62" s="390"/>
      <c r="O62" s="390"/>
      <c r="P62" s="390"/>
      <c r="Q62" s="680"/>
      <c r="R62" s="381">
        <f t="shared" si="2"/>
        <v>0</v>
      </c>
      <c r="S62" s="683"/>
      <c r="T62" s="684"/>
      <c r="U62" s="39"/>
      <c r="W62" s="814"/>
      <c r="X62" s="815"/>
      <c r="Y62" s="815"/>
      <c r="Z62" s="815"/>
      <c r="AA62" s="815"/>
      <c r="AB62" s="815"/>
      <c r="AC62" s="815"/>
      <c r="AD62" s="815"/>
      <c r="AE62" s="815"/>
      <c r="AF62" s="815"/>
      <c r="AG62" s="815"/>
      <c r="AH62" s="815"/>
      <c r="AI62" s="815"/>
      <c r="AJ62" s="816"/>
    </row>
    <row r="63" spans="1:39" ht="23.1" customHeight="1">
      <c r="A63" s="975"/>
      <c r="C63" s="47"/>
      <c r="D63" s="675"/>
      <c r="E63" s="367"/>
      <c r="F63" s="855"/>
      <c r="G63" s="676"/>
      <c r="H63" s="675"/>
      <c r="I63" s="676"/>
      <c r="J63" s="677"/>
      <c r="K63" s="677"/>
      <c r="L63" s="390"/>
      <c r="M63" s="390"/>
      <c r="N63" s="390"/>
      <c r="O63" s="390"/>
      <c r="P63" s="390"/>
      <c r="Q63" s="680"/>
      <c r="R63" s="381">
        <f t="shared" si="2"/>
        <v>0</v>
      </c>
      <c r="S63" s="683"/>
      <c r="T63" s="684"/>
      <c r="U63" s="39"/>
      <c r="W63" s="814"/>
      <c r="X63" s="815"/>
      <c r="Y63" s="815"/>
      <c r="Z63" s="815"/>
      <c r="AA63" s="815"/>
      <c r="AB63" s="815"/>
      <c r="AC63" s="815"/>
      <c r="AD63" s="815"/>
      <c r="AE63" s="815"/>
      <c r="AF63" s="815"/>
      <c r="AG63" s="815"/>
      <c r="AH63" s="815"/>
      <c r="AI63" s="815"/>
      <c r="AJ63" s="816"/>
    </row>
    <row r="64" spans="1:39" ht="23.1" customHeight="1">
      <c r="A64" s="975"/>
      <c r="C64" s="47"/>
      <c r="D64" s="675"/>
      <c r="E64" s="367"/>
      <c r="F64" s="855"/>
      <c r="G64" s="676"/>
      <c r="H64" s="675"/>
      <c r="I64" s="676"/>
      <c r="J64" s="677"/>
      <c r="K64" s="677"/>
      <c r="L64" s="390"/>
      <c r="M64" s="390"/>
      <c r="N64" s="390"/>
      <c r="O64" s="390"/>
      <c r="P64" s="390"/>
      <c r="Q64" s="680"/>
      <c r="R64" s="381">
        <f t="shared" si="2"/>
        <v>0</v>
      </c>
      <c r="S64" s="683"/>
      <c r="T64" s="684"/>
      <c r="U64" s="39"/>
      <c r="W64" s="814"/>
      <c r="X64" s="815"/>
      <c r="Y64" s="815"/>
      <c r="Z64" s="815"/>
      <c r="AA64" s="815"/>
      <c r="AB64" s="815"/>
      <c r="AC64" s="815"/>
      <c r="AD64" s="815"/>
      <c r="AE64" s="815"/>
      <c r="AF64" s="815"/>
      <c r="AG64" s="815"/>
      <c r="AH64" s="815"/>
      <c r="AI64" s="815"/>
      <c r="AJ64" s="816"/>
    </row>
    <row r="65" spans="1:36" ht="23.1" customHeight="1">
      <c r="A65" s="975"/>
      <c r="C65" s="47"/>
      <c r="D65" s="675"/>
      <c r="E65" s="367"/>
      <c r="F65" s="855"/>
      <c r="G65" s="676"/>
      <c r="H65" s="675"/>
      <c r="I65" s="676"/>
      <c r="J65" s="677"/>
      <c r="K65" s="677"/>
      <c r="L65" s="390"/>
      <c r="M65" s="390"/>
      <c r="N65" s="390"/>
      <c r="O65" s="390"/>
      <c r="P65" s="390"/>
      <c r="Q65" s="680"/>
      <c r="R65" s="381">
        <f t="shared" si="2"/>
        <v>0</v>
      </c>
      <c r="S65" s="683"/>
      <c r="T65" s="684"/>
      <c r="U65" s="39"/>
      <c r="W65" s="814"/>
      <c r="X65" s="815"/>
      <c r="Y65" s="815"/>
      <c r="Z65" s="815"/>
      <c r="AA65" s="815"/>
      <c r="AB65" s="815"/>
      <c r="AC65" s="815"/>
      <c r="AD65" s="815"/>
      <c r="AE65" s="815"/>
      <c r="AF65" s="815"/>
      <c r="AG65" s="815"/>
      <c r="AH65" s="815"/>
      <c r="AI65" s="815"/>
      <c r="AJ65" s="816"/>
    </row>
    <row r="66" spans="1:36" ht="23.1" customHeight="1">
      <c r="A66" s="975"/>
      <c r="C66" s="47"/>
      <c r="D66" s="675"/>
      <c r="E66" s="367"/>
      <c r="F66" s="855"/>
      <c r="G66" s="676"/>
      <c r="H66" s="675"/>
      <c r="I66" s="676"/>
      <c r="J66" s="677"/>
      <c r="K66" s="677"/>
      <c r="L66" s="390"/>
      <c r="M66" s="390"/>
      <c r="N66" s="390"/>
      <c r="O66" s="390"/>
      <c r="P66" s="390"/>
      <c r="Q66" s="680"/>
      <c r="R66" s="381">
        <f t="shared" si="2"/>
        <v>0</v>
      </c>
      <c r="S66" s="683"/>
      <c r="T66" s="684"/>
      <c r="U66" s="39"/>
      <c r="W66" s="814"/>
      <c r="X66" s="815"/>
      <c r="Y66" s="815"/>
      <c r="Z66" s="815"/>
      <c r="AA66" s="815"/>
      <c r="AB66" s="815"/>
      <c r="AC66" s="815"/>
      <c r="AD66" s="815"/>
      <c r="AE66" s="815"/>
      <c r="AF66" s="815"/>
      <c r="AG66" s="815"/>
      <c r="AH66" s="815"/>
      <c r="AI66" s="815"/>
      <c r="AJ66" s="816"/>
    </row>
    <row r="67" spans="1:36" ht="23.1" customHeight="1">
      <c r="A67" s="975"/>
      <c r="C67" s="47"/>
      <c r="D67" s="675"/>
      <c r="E67" s="367"/>
      <c r="F67" s="855"/>
      <c r="G67" s="676"/>
      <c r="H67" s="675"/>
      <c r="I67" s="676"/>
      <c r="J67" s="677"/>
      <c r="K67" s="677"/>
      <c r="L67" s="390"/>
      <c r="M67" s="390"/>
      <c r="N67" s="390"/>
      <c r="O67" s="390"/>
      <c r="P67" s="390"/>
      <c r="Q67" s="680"/>
      <c r="R67" s="381">
        <f t="shared" si="2"/>
        <v>0</v>
      </c>
      <c r="S67" s="683"/>
      <c r="T67" s="684"/>
      <c r="U67" s="39"/>
      <c r="W67" s="814"/>
      <c r="X67" s="815"/>
      <c r="Y67" s="815"/>
      <c r="Z67" s="815"/>
      <c r="AA67" s="815"/>
      <c r="AB67" s="815"/>
      <c r="AC67" s="815"/>
      <c r="AD67" s="815"/>
      <c r="AE67" s="815"/>
      <c r="AF67" s="815"/>
      <c r="AG67" s="815"/>
      <c r="AH67" s="815"/>
      <c r="AI67" s="815"/>
      <c r="AJ67" s="816"/>
    </row>
    <row r="68" spans="1:36" ht="23.1" customHeight="1">
      <c r="A68" s="975"/>
      <c r="C68" s="47"/>
      <c r="D68" s="675"/>
      <c r="E68" s="367"/>
      <c r="F68" s="855"/>
      <c r="G68" s="676"/>
      <c r="H68" s="675"/>
      <c r="I68" s="676"/>
      <c r="J68" s="677"/>
      <c r="K68" s="677"/>
      <c r="L68" s="390"/>
      <c r="M68" s="390"/>
      <c r="N68" s="390"/>
      <c r="O68" s="390"/>
      <c r="P68" s="390"/>
      <c r="Q68" s="680"/>
      <c r="R68" s="381">
        <f t="shared" si="2"/>
        <v>0</v>
      </c>
      <c r="S68" s="683"/>
      <c r="T68" s="684"/>
      <c r="U68" s="39"/>
      <c r="W68" s="814"/>
      <c r="X68" s="815"/>
      <c r="Y68" s="815"/>
      <c r="Z68" s="815"/>
      <c r="AA68" s="815"/>
      <c r="AB68" s="815"/>
      <c r="AC68" s="815"/>
      <c r="AD68" s="815"/>
      <c r="AE68" s="815"/>
      <c r="AF68" s="815"/>
      <c r="AG68" s="815"/>
      <c r="AH68" s="815"/>
      <c r="AI68" s="815"/>
      <c r="AJ68" s="816"/>
    </row>
    <row r="69" spans="1:36" ht="23.1" customHeight="1">
      <c r="A69" s="975"/>
      <c r="C69" s="47"/>
      <c r="D69" s="675"/>
      <c r="E69" s="367"/>
      <c r="F69" s="855"/>
      <c r="G69" s="676"/>
      <c r="H69" s="675"/>
      <c r="I69" s="676"/>
      <c r="J69" s="677"/>
      <c r="K69" s="677"/>
      <c r="L69" s="390"/>
      <c r="M69" s="390"/>
      <c r="N69" s="390"/>
      <c r="O69" s="390"/>
      <c r="P69" s="390"/>
      <c r="Q69" s="680"/>
      <c r="R69" s="381">
        <f t="shared" si="2"/>
        <v>0</v>
      </c>
      <c r="S69" s="683"/>
      <c r="T69" s="684"/>
      <c r="U69" s="39"/>
      <c r="W69" s="814"/>
      <c r="X69" s="815"/>
      <c r="Y69" s="815"/>
      <c r="Z69" s="815"/>
      <c r="AA69" s="815"/>
      <c r="AB69" s="815"/>
      <c r="AC69" s="815"/>
      <c r="AD69" s="815"/>
      <c r="AE69" s="815"/>
      <c r="AF69" s="815"/>
      <c r="AG69" s="815"/>
      <c r="AH69" s="815"/>
      <c r="AI69" s="815"/>
      <c r="AJ69" s="816"/>
    </row>
    <row r="70" spans="1:36" ht="23.1" customHeight="1">
      <c r="A70" s="975"/>
      <c r="C70" s="47"/>
      <c r="D70" s="675"/>
      <c r="E70" s="367"/>
      <c r="F70" s="855"/>
      <c r="G70" s="676"/>
      <c r="H70" s="675"/>
      <c r="I70" s="676"/>
      <c r="J70" s="677"/>
      <c r="K70" s="677"/>
      <c r="L70" s="390"/>
      <c r="M70" s="390"/>
      <c r="N70" s="390"/>
      <c r="O70" s="390"/>
      <c r="P70" s="390"/>
      <c r="Q70" s="680"/>
      <c r="R70" s="381">
        <f t="shared" si="2"/>
        <v>0</v>
      </c>
      <c r="S70" s="683"/>
      <c r="T70" s="684"/>
      <c r="U70" s="39"/>
      <c r="W70" s="814"/>
      <c r="X70" s="815"/>
      <c r="Y70" s="815"/>
      <c r="Z70" s="815"/>
      <c r="AA70" s="815"/>
      <c r="AB70" s="815"/>
      <c r="AC70" s="815"/>
      <c r="AD70" s="815"/>
      <c r="AE70" s="815"/>
      <c r="AF70" s="815"/>
      <c r="AG70" s="815"/>
      <c r="AH70" s="815"/>
      <c r="AI70" s="815"/>
      <c r="AJ70" s="816"/>
    </row>
    <row r="71" spans="1:36" ht="23.1" customHeight="1">
      <c r="A71" s="975"/>
      <c r="C71" s="47"/>
      <c r="D71" s="675"/>
      <c r="E71" s="367"/>
      <c r="F71" s="855"/>
      <c r="G71" s="676"/>
      <c r="H71" s="675"/>
      <c r="I71" s="676"/>
      <c r="J71" s="677"/>
      <c r="K71" s="677"/>
      <c r="L71" s="390"/>
      <c r="M71" s="390"/>
      <c r="N71" s="390"/>
      <c r="O71" s="390"/>
      <c r="P71" s="390"/>
      <c r="Q71" s="680"/>
      <c r="R71" s="381">
        <f t="shared" si="2"/>
        <v>0</v>
      </c>
      <c r="S71" s="683"/>
      <c r="T71" s="684"/>
      <c r="U71" s="39"/>
      <c r="W71" s="814"/>
      <c r="X71" s="815"/>
      <c r="Y71" s="815"/>
      <c r="Z71" s="815"/>
      <c r="AA71" s="815"/>
      <c r="AB71" s="815"/>
      <c r="AC71" s="815"/>
      <c r="AD71" s="815"/>
      <c r="AE71" s="815"/>
      <c r="AF71" s="815"/>
      <c r="AG71" s="815"/>
      <c r="AH71" s="815"/>
      <c r="AI71" s="815"/>
      <c r="AJ71" s="816"/>
    </row>
    <row r="72" spans="1:36" ht="23.1" customHeight="1">
      <c r="A72" s="975"/>
      <c r="C72" s="47"/>
      <c r="D72" s="675"/>
      <c r="E72" s="367"/>
      <c r="F72" s="855"/>
      <c r="G72" s="676"/>
      <c r="H72" s="675"/>
      <c r="I72" s="676"/>
      <c r="J72" s="677"/>
      <c r="K72" s="677"/>
      <c r="L72" s="390"/>
      <c r="M72" s="390"/>
      <c r="N72" s="390"/>
      <c r="O72" s="390"/>
      <c r="P72" s="390"/>
      <c r="Q72" s="680"/>
      <c r="R72" s="381">
        <f t="shared" si="2"/>
        <v>0</v>
      </c>
      <c r="S72" s="683"/>
      <c r="T72" s="684"/>
      <c r="U72" s="39"/>
      <c r="W72" s="814"/>
      <c r="X72" s="815"/>
      <c r="Y72" s="815"/>
      <c r="Z72" s="815"/>
      <c r="AA72" s="815"/>
      <c r="AB72" s="815"/>
      <c r="AC72" s="815"/>
      <c r="AD72" s="815"/>
      <c r="AE72" s="815"/>
      <c r="AF72" s="815"/>
      <c r="AG72" s="815"/>
      <c r="AH72" s="815"/>
      <c r="AI72" s="815"/>
      <c r="AJ72" s="816"/>
    </row>
    <row r="73" spans="1:36" ht="23.1" customHeight="1">
      <c r="A73" s="975"/>
      <c r="C73" s="47"/>
      <c r="D73" s="675"/>
      <c r="E73" s="685"/>
      <c r="F73" s="856"/>
      <c r="G73" s="686"/>
      <c r="H73" s="687"/>
      <c r="I73" s="686"/>
      <c r="J73" s="688"/>
      <c r="K73" s="688"/>
      <c r="L73" s="635"/>
      <c r="M73" s="635"/>
      <c r="N73" s="635"/>
      <c r="O73" s="635"/>
      <c r="P73" s="635"/>
      <c r="Q73" s="689"/>
      <c r="R73" s="381">
        <f t="shared" si="2"/>
        <v>0</v>
      </c>
      <c r="S73" s="683"/>
      <c r="T73" s="684"/>
      <c r="U73" s="39"/>
      <c r="W73" s="814"/>
      <c r="X73" s="815"/>
      <c r="Y73" s="815"/>
      <c r="Z73" s="815"/>
      <c r="AA73" s="815"/>
      <c r="AB73" s="815"/>
      <c r="AC73" s="815"/>
      <c r="AD73" s="815"/>
      <c r="AE73" s="815"/>
      <c r="AF73" s="815"/>
      <c r="AG73" s="815"/>
      <c r="AH73" s="815"/>
      <c r="AI73" s="815"/>
      <c r="AJ73" s="816"/>
    </row>
    <row r="74" spans="1:36" ht="23.1" customHeight="1">
      <c r="A74" s="975"/>
      <c r="C74" s="47"/>
      <c r="D74" s="854"/>
      <c r="E74" s="691"/>
      <c r="F74" s="857"/>
      <c r="G74" s="692"/>
      <c r="H74" s="690"/>
      <c r="I74" s="692"/>
      <c r="J74" s="693"/>
      <c r="K74" s="693"/>
      <c r="L74" s="638"/>
      <c r="M74" s="638"/>
      <c r="N74" s="638"/>
      <c r="O74" s="638"/>
      <c r="P74" s="638"/>
      <c r="Q74" s="694"/>
      <c r="R74" s="381">
        <f t="shared" si="2"/>
        <v>0</v>
      </c>
      <c r="S74" s="695"/>
      <c r="T74" s="696"/>
      <c r="U74" s="39"/>
      <c r="W74" s="814"/>
      <c r="X74" s="815"/>
      <c r="Y74" s="815"/>
      <c r="Z74" s="815"/>
      <c r="AA74" s="815"/>
      <c r="AB74" s="815"/>
      <c r="AC74" s="815"/>
      <c r="AD74" s="815"/>
      <c r="AE74" s="815"/>
      <c r="AF74" s="815"/>
      <c r="AG74" s="815"/>
      <c r="AH74" s="815"/>
      <c r="AI74" s="815"/>
      <c r="AJ74" s="816"/>
    </row>
    <row r="75" spans="1:36" ht="23.1" customHeight="1" thickBot="1">
      <c r="A75" s="975"/>
      <c r="C75" s="47"/>
      <c r="D75" s="632"/>
      <c r="E75" s="632"/>
      <c r="F75" s="99"/>
      <c r="G75" s="99"/>
      <c r="H75" s="99"/>
      <c r="I75" s="1227" t="s">
        <v>648</v>
      </c>
      <c r="J75" s="1228"/>
      <c r="K75" s="1229"/>
      <c r="L75" s="116">
        <f>SUM(L50:L74)</f>
        <v>180000</v>
      </c>
      <c r="M75" s="116">
        <f t="shared" ref="M75:T75" si="3">SUM(M50:M74)</f>
        <v>80000</v>
      </c>
      <c r="N75" s="116">
        <f t="shared" si="3"/>
        <v>0</v>
      </c>
      <c r="O75" s="116">
        <f t="shared" si="3"/>
        <v>0</v>
      </c>
      <c r="P75" s="116">
        <f t="shared" si="3"/>
        <v>80000</v>
      </c>
      <c r="Q75" s="116">
        <f t="shared" si="3"/>
        <v>0</v>
      </c>
      <c r="R75" s="384">
        <f t="shared" si="3"/>
        <v>0</v>
      </c>
      <c r="S75" s="116">
        <f t="shared" si="3"/>
        <v>0</v>
      </c>
      <c r="T75" s="116">
        <f t="shared" si="3"/>
        <v>0</v>
      </c>
      <c r="U75" s="39"/>
      <c r="V75" s="858">
        <f>SUM(L75:T75)</f>
        <v>340000</v>
      </c>
      <c r="W75" s="814"/>
      <c r="X75" s="815"/>
      <c r="Y75" s="815"/>
      <c r="Z75" s="815"/>
      <c r="AA75" s="815"/>
      <c r="AB75" s="815"/>
      <c r="AC75" s="815"/>
      <c r="AD75" s="815"/>
      <c r="AE75" s="815"/>
      <c r="AF75" s="815"/>
      <c r="AG75" s="815"/>
      <c r="AH75" s="815"/>
      <c r="AI75" s="815"/>
      <c r="AJ75" s="816"/>
    </row>
    <row r="76" spans="1:36" ht="23.1" customHeight="1">
      <c r="A76" s="975"/>
      <c r="C76" s="47"/>
      <c r="D76" s="632"/>
      <c r="E76" s="632"/>
      <c r="F76" s="99"/>
      <c r="G76" s="99"/>
      <c r="H76" s="99"/>
      <c r="I76" s="859"/>
      <c r="J76" s="860"/>
      <c r="K76" s="861" t="s">
        <v>649</v>
      </c>
      <c r="L76" s="862">
        <f>SUMIF($D$50:$D$74,"Corriente",$L$50:$L$74)</f>
        <v>180000</v>
      </c>
      <c r="M76" s="862">
        <f>SUMIF($D$50:$D$74,"Corriente",$M$50:$M$74)</f>
        <v>80000</v>
      </c>
      <c r="N76" s="862">
        <f>SUMIF($D$50:$D$74,"Corriente",$N$50:$N$74)</f>
        <v>0</v>
      </c>
      <c r="O76" s="862">
        <f>SUMIF($D$50:$D$74,"Corriente",$O$50:$O$74)</f>
        <v>0</v>
      </c>
      <c r="P76" s="862">
        <f>SUMIF($D$50:$D$74,"Corriente",$P$50:$P$74)</f>
        <v>80000</v>
      </c>
      <c r="Q76" s="862">
        <f>SUMIF($D$50:$D$74,"Corriente",$Q$50:$Q$74)</f>
        <v>0</v>
      </c>
      <c r="R76" s="863">
        <f>SUMIF($D$50:$D$74,"Corriente",$R$50:$R$74)</f>
        <v>0</v>
      </c>
      <c r="S76" s="862">
        <f>SUMIF($D$50:$D$74,"Corriente",$S$50:$S$74)</f>
        <v>0</v>
      </c>
      <c r="T76" s="862">
        <f>SUMIF($D$50:$D$74,"Corriente",$T$50:$T$74)</f>
        <v>0</v>
      </c>
      <c r="U76" s="39"/>
      <c r="V76" s="858">
        <f>SUM(L76:T76)</f>
        <v>340000</v>
      </c>
      <c r="W76" s="814"/>
      <c r="X76" s="815"/>
      <c r="Y76" s="815"/>
      <c r="Z76" s="815"/>
      <c r="AA76" s="815"/>
      <c r="AB76" s="815"/>
      <c r="AC76" s="815"/>
      <c r="AD76" s="815"/>
      <c r="AE76" s="815"/>
      <c r="AF76" s="815"/>
      <c r="AG76" s="815"/>
      <c r="AH76" s="815"/>
      <c r="AI76" s="815"/>
      <c r="AJ76" s="816"/>
    </row>
    <row r="77" spans="1:36" ht="23.1" customHeight="1">
      <c r="A77" s="975"/>
      <c r="C77" s="47"/>
      <c r="D77" s="632"/>
      <c r="E77" s="632"/>
      <c r="F77" s="99"/>
      <c r="G77" s="99"/>
      <c r="H77" s="99"/>
      <c r="I77" s="864"/>
      <c r="J77" s="865"/>
      <c r="K77" s="866">
        <f>ejercicio</f>
        <v>2022</v>
      </c>
      <c r="L77" s="867">
        <f>SUMIFS(L50:L74,$D$50:$D$74,"Corriente",$F$50:$F$74,2022)</f>
        <v>0</v>
      </c>
      <c r="M77" s="867">
        <f t="shared" ref="M77:T77" si="4">SUMIFS(M50:M74,$D$50:$D$74,"Corriente",$F$50:$F$74,2022)</f>
        <v>0</v>
      </c>
      <c r="N77" s="867">
        <f t="shared" si="4"/>
        <v>0</v>
      </c>
      <c r="O77" s="867">
        <f t="shared" si="4"/>
        <v>0</v>
      </c>
      <c r="P77" s="867">
        <f t="shared" si="4"/>
        <v>0</v>
      </c>
      <c r="Q77" s="867">
        <f t="shared" si="4"/>
        <v>0</v>
      </c>
      <c r="R77" s="868">
        <f t="shared" si="4"/>
        <v>0</v>
      </c>
      <c r="S77" s="867">
        <f t="shared" si="4"/>
        <v>0</v>
      </c>
      <c r="T77" s="867">
        <f t="shared" si="4"/>
        <v>0</v>
      </c>
      <c r="U77" s="39"/>
      <c r="V77" s="869"/>
      <c r="W77" s="814"/>
      <c r="X77" s="815"/>
      <c r="Y77" s="815"/>
      <c r="Z77" s="815"/>
      <c r="AA77" s="815"/>
      <c r="AB77" s="815"/>
      <c r="AC77" s="815"/>
      <c r="AD77" s="815"/>
      <c r="AE77" s="815"/>
      <c r="AF77" s="815"/>
      <c r="AG77" s="815"/>
      <c r="AH77" s="815"/>
      <c r="AI77" s="815"/>
      <c r="AJ77" s="816"/>
    </row>
    <row r="78" spans="1:36" ht="23.1" customHeight="1">
      <c r="A78" s="975"/>
      <c r="C78" s="47"/>
      <c r="D78" s="632"/>
      <c r="E78" s="632"/>
      <c r="F78" s="99"/>
      <c r="G78" s="99"/>
      <c r="H78" s="99"/>
      <c r="I78" s="870"/>
      <c r="J78" s="292"/>
      <c r="K78" s="871" t="s">
        <v>650</v>
      </c>
      <c r="L78" s="872">
        <f>L76-L77</f>
        <v>180000</v>
      </c>
      <c r="M78" s="872">
        <f t="shared" ref="M78:T78" si="5">M76-M77</f>
        <v>80000</v>
      </c>
      <c r="N78" s="872">
        <f t="shared" si="5"/>
        <v>0</v>
      </c>
      <c r="O78" s="872">
        <f t="shared" si="5"/>
        <v>0</v>
      </c>
      <c r="P78" s="872">
        <f t="shared" si="5"/>
        <v>80000</v>
      </c>
      <c r="Q78" s="872">
        <f t="shared" si="5"/>
        <v>0</v>
      </c>
      <c r="R78" s="873">
        <f t="shared" si="5"/>
        <v>0</v>
      </c>
      <c r="S78" s="872">
        <f t="shared" si="5"/>
        <v>0</v>
      </c>
      <c r="T78" s="872">
        <f t="shared" si="5"/>
        <v>0</v>
      </c>
      <c r="U78" s="39"/>
      <c r="V78" s="869"/>
      <c r="W78" s="814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  <c r="AJ78" s="816"/>
    </row>
    <row r="79" spans="1:36" ht="23.1" customHeight="1">
      <c r="A79" s="975"/>
      <c r="C79" s="47"/>
      <c r="D79" s="632"/>
      <c r="E79" s="632"/>
      <c r="F79" s="99"/>
      <c r="G79" s="99"/>
      <c r="H79" s="99"/>
      <c r="I79" s="874"/>
      <c r="J79" s="875"/>
      <c r="K79" s="876" t="s">
        <v>651</v>
      </c>
      <c r="L79" s="877">
        <f>SUMIF($D$50:$D$74,"Capital",$L$50:$L$74)</f>
        <v>0</v>
      </c>
      <c r="M79" s="877">
        <f>SUMIF($D$50:$D$74,"Capital",$M$50:$M$74)</f>
        <v>0</v>
      </c>
      <c r="N79" s="877">
        <f>SUMIF($D$50:$D$74,"Capital",$N$50:$N$74)</f>
        <v>0</v>
      </c>
      <c r="O79" s="877">
        <f>SUMIF($D$50:$D$74,"Capital",$O$50:$O$74)</f>
        <v>0</v>
      </c>
      <c r="P79" s="877">
        <f>SUMIF($D$50:$D$74,"Capital",$P$50:$P$74)</f>
        <v>0</v>
      </c>
      <c r="Q79" s="877">
        <f>SUMIF($D$50:$D$74,"Capital",$Q$50:$Q$74)</f>
        <v>0</v>
      </c>
      <c r="R79" s="878">
        <f>SUMIF($D$50:$D$74,"Capital",$R$50:$R$74)</f>
        <v>0</v>
      </c>
      <c r="S79" s="877">
        <f>SUMIF($D$50:$D$74,"Capital",$S$50:$S$74)</f>
        <v>0</v>
      </c>
      <c r="T79" s="877">
        <f>SUMIF($D$50:$D$74,"Capital",$T$50:$T$74)</f>
        <v>0</v>
      </c>
      <c r="U79" s="39"/>
      <c r="V79" s="858">
        <f>SUM(L79:T79)</f>
        <v>0</v>
      </c>
      <c r="W79" s="814"/>
      <c r="X79" s="815"/>
      <c r="Y79" s="815"/>
      <c r="Z79" s="815"/>
      <c r="AA79" s="815"/>
      <c r="AB79" s="815"/>
      <c r="AC79" s="815"/>
      <c r="AD79" s="815"/>
      <c r="AE79" s="815"/>
      <c r="AF79" s="815"/>
      <c r="AG79" s="815"/>
      <c r="AH79" s="815"/>
      <c r="AI79" s="815"/>
      <c r="AJ79" s="816"/>
    </row>
    <row r="80" spans="1:36" ht="23.1" customHeight="1">
      <c r="A80" s="975"/>
      <c r="C80" s="47"/>
      <c r="D80" s="632"/>
      <c r="E80" s="632"/>
      <c r="F80" s="99"/>
      <c r="G80" s="99"/>
      <c r="H80" s="99"/>
      <c r="I80" s="870"/>
      <c r="J80" s="292"/>
      <c r="K80" s="871">
        <f>ejercicio</f>
        <v>2022</v>
      </c>
      <c r="L80" s="879">
        <f>SUMIFS(L50:L74,$D$50:$D$74,"Capital",$F$50:$F$74,2022)</f>
        <v>0</v>
      </c>
      <c r="M80" s="879">
        <f>SUMIFS(M50:M74,$D$50:$D$74,"Capital",$F$50:$F$74,2022)</f>
        <v>0</v>
      </c>
      <c r="N80" s="879">
        <f t="shared" ref="N80:T80" si="6">SUMIFS(N50:N74,$D$50:$D$74,"Capital",$F$50:$F$74,2022)</f>
        <v>0</v>
      </c>
      <c r="O80" s="879">
        <f t="shared" si="6"/>
        <v>0</v>
      </c>
      <c r="P80" s="879">
        <f t="shared" si="6"/>
        <v>0</v>
      </c>
      <c r="Q80" s="879">
        <f t="shared" si="6"/>
        <v>0</v>
      </c>
      <c r="R80" s="880">
        <f t="shared" si="6"/>
        <v>0</v>
      </c>
      <c r="S80" s="879">
        <f>SUMIFS(S50:S74,$D$50:$D$74,"Capital",$F$50:$F$74,2022)</f>
        <v>0</v>
      </c>
      <c r="T80" s="879">
        <f t="shared" si="6"/>
        <v>0</v>
      </c>
      <c r="U80" s="39"/>
      <c r="W80" s="814"/>
      <c r="X80" s="815"/>
      <c r="Y80" s="815"/>
      <c r="Z80" s="815"/>
      <c r="AA80" s="815"/>
      <c r="AB80" s="815"/>
      <c r="AC80" s="815"/>
      <c r="AD80" s="815"/>
      <c r="AE80" s="815"/>
      <c r="AF80" s="815"/>
      <c r="AG80" s="815"/>
      <c r="AH80" s="815"/>
      <c r="AI80" s="815"/>
      <c r="AJ80" s="816"/>
    </row>
    <row r="81" spans="1:36" ht="23.1" customHeight="1">
      <c r="A81" s="975"/>
      <c r="C81" s="47"/>
      <c r="D81" s="632"/>
      <c r="E81" s="632"/>
      <c r="F81" s="99"/>
      <c r="G81" s="99"/>
      <c r="H81" s="99"/>
      <c r="I81" s="881"/>
      <c r="J81" s="882"/>
      <c r="K81" s="883" t="s">
        <v>650</v>
      </c>
      <c r="L81" s="884">
        <f>L79-L80</f>
        <v>0</v>
      </c>
      <c r="M81" s="884">
        <f>M79-M80</f>
        <v>0</v>
      </c>
      <c r="N81" s="884">
        <f t="shared" ref="N81:T81" si="7">N79-N80</f>
        <v>0</v>
      </c>
      <c r="O81" s="884">
        <f t="shared" si="7"/>
        <v>0</v>
      </c>
      <c r="P81" s="884">
        <f t="shared" si="7"/>
        <v>0</v>
      </c>
      <c r="Q81" s="884">
        <f t="shared" si="7"/>
        <v>0</v>
      </c>
      <c r="R81" s="885">
        <f t="shared" si="7"/>
        <v>0</v>
      </c>
      <c r="S81" s="884">
        <f t="shared" si="7"/>
        <v>0</v>
      </c>
      <c r="T81" s="884">
        <f t="shared" si="7"/>
        <v>0</v>
      </c>
      <c r="U81" s="39"/>
      <c r="W81" s="814"/>
      <c r="X81" s="815"/>
      <c r="Y81" s="815"/>
      <c r="Z81" s="815"/>
      <c r="AA81" s="815"/>
      <c r="AB81" s="815"/>
      <c r="AC81" s="815"/>
      <c r="AD81" s="815"/>
      <c r="AE81" s="815"/>
      <c r="AF81" s="815"/>
      <c r="AG81" s="815"/>
      <c r="AH81" s="815"/>
      <c r="AI81" s="815"/>
      <c r="AJ81" s="816"/>
    </row>
    <row r="82" spans="1:36" ht="23.1" customHeight="1">
      <c r="A82" s="975"/>
      <c r="C82" s="47"/>
      <c r="D82" s="632"/>
      <c r="E82" s="632"/>
      <c r="F82" s="99"/>
      <c r="G82" s="99"/>
      <c r="H82" s="99"/>
      <c r="I82" s="292"/>
      <c r="J82" s="292"/>
      <c r="K82" s="292"/>
      <c r="L82" s="99"/>
      <c r="M82" s="99"/>
      <c r="N82" s="99"/>
      <c r="O82" s="99"/>
      <c r="P82" s="99"/>
      <c r="Q82" s="99"/>
      <c r="R82" s="697"/>
      <c r="S82" s="99"/>
      <c r="T82" s="99"/>
      <c r="U82" s="39"/>
      <c r="W82" s="814"/>
      <c r="X82" s="815"/>
      <c r="Y82" s="815"/>
      <c r="Z82" s="815"/>
      <c r="AA82" s="815"/>
      <c r="AB82" s="815"/>
      <c r="AC82" s="815"/>
      <c r="AD82" s="815"/>
      <c r="AE82" s="815"/>
      <c r="AF82" s="815"/>
      <c r="AG82" s="815"/>
      <c r="AH82" s="815"/>
      <c r="AI82" s="815"/>
      <c r="AJ82" s="816"/>
    </row>
    <row r="83" spans="1:36" ht="23.1" customHeight="1">
      <c r="A83" s="975"/>
      <c r="C83" s="47"/>
      <c r="D83" s="667" t="s">
        <v>652</v>
      </c>
      <c r="E83" s="668"/>
      <c r="F83" s="669"/>
      <c r="G83" s="669"/>
      <c r="H83" s="669"/>
      <c r="I83" s="669"/>
      <c r="J83" s="669"/>
      <c r="K83" s="669"/>
      <c r="L83" s="669"/>
      <c r="M83" s="669"/>
      <c r="N83" s="669"/>
      <c r="O83" s="669"/>
      <c r="P83" s="669"/>
      <c r="Q83" s="669"/>
      <c r="R83" s="669"/>
      <c r="S83" s="669"/>
      <c r="T83" s="670"/>
      <c r="U83" s="39"/>
      <c r="W83" s="814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6"/>
    </row>
    <row r="84" spans="1:36" ht="50.1" customHeight="1">
      <c r="A84" s="975"/>
      <c r="C84" s="47"/>
      <c r="D84" s="86" t="s">
        <v>605</v>
      </c>
      <c r="E84" s="122" t="s">
        <v>606</v>
      </c>
      <c r="F84" s="86" t="s">
        <v>607</v>
      </c>
      <c r="G84" s="86" t="s">
        <v>607</v>
      </c>
      <c r="H84" s="86" t="s">
        <v>608</v>
      </c>
      <c r="I84" s="86" t="s">
        <v>609</v>
      </c>
      <c r="J84" s="86" t="s">
        <v>610</v>
      </c>
      <c r="K84" s="86" t="s">
        <v>611</v>
      </c>
      <c r="L84" s="86" t="s">
        <v>612</v>
      </c>
      <c r="M84" s="86" t="s">
        <v>613</v>
      </c>
      <c r="N84" s="377" t="s">
        <v>614</v>
      </c>
      <c r="O84" s="86" t="s">
        <v>653</v>
      </c>
      <c r="P84" s="673" t="s">
        <v>654</v>
      </c>
      <c r="Q84" s="378" t="s">
        <v>617</v>
      </c>
      <c r="R84" s="86" t="s">
        <v>613</v>
      </c>
      <c r="S84" s="1204" t="s">
        <v>618</v>
      </c>
      <c r="T84" s="1205"/>
      <c r="U84" s="39"/>
      <c r="W84" s="814"/>
      <c r="X84" s="815"/>
      <c r="Y84" s="815"/>
      <c r="Z84" s="815"/>
      <c r="AA84" s="815"/>
      <c r="AB84" s="815"/>
      <c r="AC84" s="815"/>
      <c r="AD84" s="815"/>
      <c r="AE84" s="815"/>
      <c r="AF84" s="815"/>
      <c r="AG84" s="815"/>
      <c r="AH84" s="815"/>
      <c r="AI84" s="815"/>
      <c r="AJ84" s="816"/>
    </row>
    <row r="85" spans="1:36" ht="23.1" customHeight="1">
      <c r="A85" s="975"/>
      <c r="C85" s="47"/>
      <c r="D85" s="126" t="s">
        <v>619</v>
      </c>
      <c r="E85" s="127" t="s">
        <v>619</v>
      </c>
      <c r="F85" s="126" t="s">
        <v>620</v>
      </c>
      <c r="G85" s="126" t="s">
        <v>621</v>
      </c>
      <c r="H85" s="126" t="s">
        <v>622</v>
      </c>
      <c r="I85" s="126" t="s">
        <v>623</v>
      </c>
      <c r="J85" s="674" t="s">
        <v>655</v>
      </c>
      <c r="K85" s="126" t="s">
        <v>625</v>
      </c>
      <c r="L85" s="126" t="s">
        <v>626</v>
      </c>
      <c r="M85" s="126">
        <f>ejercicio-1</f>
        <v>2021</v>
      </c>
      <c r="N85" s="126">
        <f>ejercicio</f>
        <v>2022</v>
      </c>
      <c r="O85" s="126">
        <f>ejercicio</f>
        <v>2022</v>
      </c>
      <c r="P85" s="126">
        <f>ejercicio</f>
        <v>2022</v>
      </c>
      <c r="Q85" s="126">
        <f>ejercicio</f>
        <v>2022</v>
      </c>
      <c r="R85" s="126">
        <f>ejercicio</f>
        <v>2022</v>
      </c>
      <c r="S85" s="379" t="s">
        <v>627</v>
      </c>
      <c r="T85" s="380" t="s">
        <v>628</v>
      </c>
      <c r="U85" s="39"/>
      <c r="W85" s="814"/>
      <c r="X85" s="815"/>
      <c r="Y85" s="815"/>
      <c r="Z85" s="815"/>
      <c r="AA85" s="815"/>
      <c r="AB85" s="815"/>
      <c r="AC85" s="815"/>
      <c r="AD85" s="815"/>
      <c r="AE85" s="815"/>
      <c r="AF85" s="815"/>
      <c r="AG85" s="815"/>
      <c r="AH85" s="815"/>
      <c r="AI85" s="815"/>
      <c r="AJ85" s="816"/>
    </row>
    <row r="86" spans="1:36" ht="23.1" customHeight="1">
      <c r="A86" s="975"/>
      <c r="C86" s="47"/>
      <c r="D86" s="675"/>
      <c r="E86" s="367" t="s">
        <v>656</v>
      </c>
      <c r="F86" s="951">
        <v>43971</v>
      </c>
      <c r="G86" s="951">
        <v>44762</v>
      </c>
      <c r="H86" s="675"/>
      <c r="I86" s="676">
        <v>180</v>
      </c>
      <c r="J86" s="676" t="s">
        <v>657</v>
      </c>
      <c r="K86" s="676" t="s">
        <v>657</v>
      </c>
      <c r="L86" s="390">
        <v>5140.8</v>
      </c>
      <c r="M86" s="390">
        <v>5140.8</v>
      </c>
      <c r="N86" s="679"/>
      <c r="O86" s="679"/>
      <c r="P86" s="679"/>
      <c r="Q86" s="680"/>
      <c r="R86" s="381">
        <f>M86+N86-O86+P86</f>
        <v>5140.8</v>
      </c>
      <c r="S86" s="681"/>
      <c r="T86" s="682">
        <v>5140.8</v>
      </c>
      <c r="U86" s="39"/>
      <c r="W86" s="814"/>
      <c r="X86" s="815"/>
      <c r="Y86" s="815"/>
      <c r="Z86" s="815"/>
      <c r="AA86" s="815"/>
      <c r="AB86" s="815"/>
      <c r="AC86" s="815"/>
      <c r="AD86" s="815"/>
      <c r="AE86" s="815"/>
      <c r="AF86" s="815"/>
      <c r="AG86" s="815"/>
      <c r="AH86" s="815"/>
      <c r="AI86" s="815"/>
      <c r="AJ86" s="816"/>
    </row>
    <row r="87" spans="1:36" ht="23.1" customHeight="1">
      <c r="A87" s="975"/>
      <c r="C87" s="47"/>
      <c r="D87" s="675"/>
      <c r="E87" s="367" t="s">
        <v>658</v>
      </c>
      <c r="F87" s="676"/>
      <c r="G87" s="676"/>
      <c r="H87" s="675"/>
      <c r="I87" s="676">
        <v>5525</v>
      </c>
      <c r="J87" s="676"/>
      <c r="K87" s="676"/>
      <c r="L87" s="390"/>
      <c r="M87" s="390">
        <v>1975</v>
      </c>
      <c r="N87" s="390">
        <v>500</v>
      </c>
      <c r="O87" s="390"/>
      <c r="P87" s="390"/>
      <c r="Q87" s="680"/>
      <c r="R87" s="381">
        <f t="shared" ref="R87:R110" si="8">M87+N87-O87+P87</f>
        <v>2475</v>
      </c>
      <c r="S87" s="683">
        <v>2475</v>
      </c>
      <c r="T87" s="684"/>
      <c r="U87" s="39"/>
      <c r="W87" s="814"/>
      <c r="X87" s="815"/>
      <c r="Y87" s="815"/>
      <c r="Z87" s="815"/>
      <c r="AA87" s="815"/>
      <c r="AB87" s="815"/>
      <c r="AC87" s="815"/>
      <c r="AD87" s="815"/>
      <c r="AE87" s="815"/>
      <c r="AF87" s="815"/>
      <c r="AG87" s="815"/>
      <c r="AH87" s="815"/>
      <c r="AI87" s="815"/>
      <c r="AJ87" s="816"/>
    </row>
    <row r="88" spans="1:36" ht="23.1" customHeight="1">
      <c r="A88" s="975"/>
      <c r="C88" s="47"/>
      <c r="D88" s="675"/>
      <c r="E88" s="367"/>
      <c r="F88" s="676" t="s">
        <v>659</v>
      </c>
      <c r="G88" s="676"/>
      <c r="H88" s="675"/>
      <c r="I88" s="676"/>
      <c r="J88" s="676"/>
      <c r="K88" s="676"/>
      <c r="L88" s="390"/>
      <c r="M88" s="390"/>
      <c r="N88" s="390"/>
      <c r="O88" s="390"/>
      <c r="P88" s="390"/>
      <c r="Q88" s="680"/>
      <c r="R88" s="381">
        <f t="shared" si="8"/>
        <v>0</v>
      </c>
      <c r="S88" s="683"/>
      <c r="T88" s="684"/>
      <c r="U88" s="39"/>
      <c r="W88" s="814"/>
      <c r="X88" s="815"/>
      <c r="Y88" s="815"/>
      <c r="Z88" s="815"/>
      <c r="AA88" s="815"/>
      <c r="AB88" s="815"/>
      <c r="AC88" s="815"/>
      <c r="AD88" s="815"/>
      <c r="AE88" s="815"/>
      <c r="AF88" s="815"/>
      <c r="AG88" s="815"/>
      <c r="AH88" s="815"/>
      <c r="AI88" s="815"/>
      <c r="AJ88" s="816"/>
    </row>
    <row r="89" spans="1:36" ht="23.1" customHeight="1">
      <c r="A89" s="975"/>
      <c r="C89" s="47"/>
      <c r="D89" s="675"/>
      <c r="E89" s="367"/>
      <c r="F89" s="676"/>
      <c r="G89" s="676"/>
      <c r="H89" s="675"/>
      <c r="I89" s="676"/>
      <c r="J89" s="676"/>
      <c r="K89" s="676"/>
      <c r="L89" s="390"/>
      <c r="M89" s="390"/>
      <c r="N89" s="390"/>
      <c r="O89" s="390"/>
      <c r="P89" s="390"/>
      <c r="Q89" s="680"/>
      <c r="R89" s="381">
        <f t="shared" si="8"/>
        <v>0</v>
      </c>
      <c r="S89" s="683"/>
      <c r="T89" s="684"/>
      <c r="U89" s="39"/>
      <c r="W89" s="814"/>
      <c r="X89" s="815"/>
      <c r="Y89" s="815"/>
      <c r="Z89" s="815"/>
      <c r="AA89" s="815"/>
      <c r="AB89" s="815"/>
      <c r="AC89" s="815"/>
      <c r="AD89" s="815"/>
      <c r="AE89" s="815"/>
      <c r="AF89" s="815"/>
      <c r="AG89" s="815"/>
      <c r="AH89" s="815"/>
      <c r="AI89" s="815"/>
      <c r="AJ89" s="816"/>
    </row>
    <row r="90" spans="1:36" ht="23.1" customHeight="1">
      <c r="A90" s="975"/>
      <c r="C90" s="47"/>
      <c r="D90" s="675"/>
      <c r="E90" s="367"/>
      <c r="F90" s="676"/>
      <c r="G90" s="676"/>
      <c r="H90" s="675"/>
      <c r="I90" s="676"/>
      <c r="J90" s="676"/>
      <c r="K90" s="676"/>
      <c r="L90" s="390"/>
      <c r="M90" s="390"/>
      <c r="N90" s="390"/>
      <c r="O90" s="390"/>
      <c r="P90" s="390"/>
      <c r="Q90" s="680"/>
      <c r="R90" s="381">
        <f t="shared" si="8"/>
        <v>0</v>
      </c>
      <c r="S90" s="683"/>
      <c r="T90" s="684"/>
      <c r="U90" s="39"/>
      <c r="W90" s="814"/>
      <c r="X90" s="815"/>
      <c r="Y90" s="815"/>
      <c r="Z90" s="815"/>
      <c r="AA90" s="815"/>
      <c r="AB90" s="815"/>
      <c r="AC90" s="815"/>
      <c r="AD90" s="815"/>
      <c r="AE90" s="815"/>
      <c r="AF90" s="815"/>
      <c r="AG90" s="815"/>
      <c r="AH90" s="815"/>
      <c r="AI90" s="815"/>
      <c r="AJ90" s="816"/>
    </row>
    <row r="91" spans="1:36" ht="23.1" customHeight="1">
      <c r="A91" s="975"/>
      <c r="C91" s="47"/>
      <c r="D91" s="675"/>
      <c r="E91" s="367"/>
      <c r="F91" s="676"/>
      <c r="G91" s="676"/>
      <c r="H91" s="675"/>
      <c r="I91" s="676"/>
      <c r="J91" s="676"/>
      <c r="K91" s="676"/>
      <c r="L91" s="390"/>
      <c r="M91" s="390"/>
      <c r="N91" s="390"/>
      <c r="O91" s="390"/>
      <c r="P91" s="390"/>
      <c r="Q91" s="680"/>
      <c r="R91" s="381">
        <f t="shared" si="8"/>
        <v>0</v>
      </c>
      <c r="S91" s="683"/>
      <c r="T91" s="684"/>
      <c r="U91" s="39"/>
      <c r="W91" s="814"/>
      <c r="X91" s="815"/>
      <c r="Y91" s="815"/>
      <c r="Z91" s="815"/>
      <c r="AA91" s="815"/>
      <c r="AB91" s="815"/>
      <c r="AC91" s="815"/>
      <c r="AD91" s="815"/>
      <c r="AE91" s="815"/>
      <c r="AF91" s="815"/>
      <c r="AG91" s="815"/>
      <c r="AH91" s="815"/>
      <c r="AI91" s="815"/>
      <c r="AJ91" s="816"/>
    </row>
    <row r="92" spans="1:36" ht="23.1" customHeight="1">
      <c r="A92" s="975"/>
      <c r="C92" s="47"/>
      <c r="D92" s="675"/>
      <c r="E92" s="367"/>
      <c r="F92" s="676"/>
      <c r="G92" s="676"/>
      <c r="H92" s="675"/>
      <c r="I92" s="676"/>
      <c r="J92" s="676"/>
      <c r="K92" s="676"/>
      <c r="L92" s="390"/>
      <c r="M92" s="390"/>
      <c r="N92" s="390"/>
      <c r="O92" s="390"/>
      <c r="P92" s="390"/>
      <c r="Q92" s="680"/>
      <c r="R92" s="381">
        <f t="shared" si="8"/>
        <v>0</v>
      </c>
      <c r="S92" s="683"/>
      <c r="T92" s="684"/>
      <c r="U92" s="39"/>
      <c r="W92" s="814"/>
      <c r="X92" s="815"/>
      <c r="Y92" s="815"/>
      <c r="Z92" s="815"/>
      <c r="AA92" s="815"/>
      <c r="AB92" s="815"/>
      <c r="AC92" s="815"/>
      <c r="AD92" s="815"/>
      <c r="AE92" s="815"/>
      <c r="AF92" s="815"/>
      <c r="AG92" s="815"/>
      <c r="AH92" s="815"/>
      <c r="AI92" s="815"/>
      <c r="AJ92" s="816"/>
    </row>
    <row r="93" spans="1:36" ht="23.1" customHeight="1">
      <c r="A93" s="975"/>
      <c r="C93" s="47"/>
      <c r="D93" s="675"/>
      <c r="E93" s="367"/>
      <c r="F93" s="676"/>
      <c r="G93" s="676"/>
      <c r="H93" s="675"/>
      <c r="I93" s="676"/>
      <c r="J93" s="676"/>
      <c r="K93" s="676"/>
      <c r="L93" s="390"/>
      <c r="M93" s="390"/>
      <c r="N93" s="390"/>
      <c r="O93" s="390"/>
      <c r="P93" s="390"/>
      <c r="Q93" s="680"/>
      <c r="R93" s="381">
        <f t="shared" si="8"/>
        <v>0</v>
      </c>
      <c r="S93" s="683"/>
      <c r="T93" s="684"/>
      <c r="U93" s="39"/>
      <c r="W93" s="814"/>
      <c r="X93" s="815"/>
      <c r="Y93" s="815"/>
      <c r="Z93" s="815"/>
      <c r="AA93" s="815"/>
      <c r="AB93" s="815"/>
      <c r="AC93" s="815"/>
      <c r="AD93" s="815"/>
      <c r="AE93" s="815"/>
      <c r="AF93" s="815"/>
      <c r="AG93" s="815"/>
      <c r="AH93" s="815"/>
      <c r="AI93" s="815"/>
      <c r="AJ93" s="816"/>
    </row>
    <row r="94" spans="1:36" ht="23.1" customHeight="1">
      <c r="A94" s="975"/>
      <c r="C94" s="47"/>
      <c r="D94" s="675"/>
      <c r="E94" s="367"/>
      <c r="F94" s="676"/>
      <c r="G94" s="676"/>
      <c r="H94" s="675"/>
      <c r="I94" s="676"/>
      <c r="J94" s="676"/>
      <c r="K94" s="676"/>
      <c r="L94" s="390"/>
      <c r="M94" s="390"/>
      <c r="N94" s="390"/>
      <c r="O94" s="390"/>
      <c r="P94" s="390"/>
      <c r="Q94" s="680"/>
      <c r="R94" s="381">
        <f t="shared" si="8"/>
        <v>0</v>
      </c>
      <c r="S94" s="683"/>
      <c r="T94" s="684"/>
      <c r="U94" s="39"/>
      <c r="W94" s="814"/>
      <c r="X94" s="815"/>
      <c r="Y94" s="815"/>
      <c r="Z94" s="815"/>
      <c r="AA94" s="815"/>
      <c r="AB94" s="815"/>
      <c r="AC94" s="815"/>
      <c r="AD94" s="815"/>
      <c r="AE94" s="815"/>
      <c r="AF94" s="815"/>
      <c r="AG94" s="815"/>
      <c r="AH94" s="815"/>
      <c r="AI94" s="815"/>
      <c r="AJ94" s="816"/>
    </row>
    <row r="95" spans="1:36" ht="23.1" customHeight="1">
      <c r="A95" s="975"/>
      <c r="C95" s="47"/>
      <c r="D95" s="675"/>
      <c r="E95" s="367"/>
      <c r="F95" s="676"/>
      <c r="G95" s="676"/>
      <c r="H95" s="675"/>
      <c r="I95" s="676"/>
      <c r="J95" s="676"/>
      <c r="K95" s="676"/>
      <c r="L95" s="390"/>
      <c r="M95" s="390"/>
      <c r="N95" s="390"/>
      <c r="O95" s="390"/>
      <c r="P95" s="390"/>
      <c r="Q95" s="680"/>
      <c r="R95" s="381">
        <f t="shared" si="8"/>
        <v>0</v>
      </c>
      <c r="S95" s="683"/>
      <c r="T95" s="684"/>
      <c r="U95" s="39"/>
      <c r="W95" s="814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6"/>
    </row>
    <row r="96" spans="1:36" ht="23.1" customHeight="1">
      <c r="A96" s="975"/>
      <c r="C96" s="47"/>
      <c r="D96" s="675"/>
      <c r="E96" s="367"/>
      <c r="F96" s="676"/>
      <c r="G96" s="676"/>
      <c r="H96" s="675"/>
      <c r="I96" s="676"/>
      <c r="J96" s="676"/>
      <c r="K96" s="676"/>
      <c r="L96" s="390"/>
      <c r="M96" s="390"/>
      <c r="N96" s="390"/>
      <c r="O96" s="390"/>
      <c r="P96" s="390"/>
      <c r="Q96" s="680"/>
      <c r="R96" s="381">
        <f t="shared" si="8"/>
        <v>0</v>
      </c>
      <c r="S96" s="683"/>
      <c r="T96" s="684"/>
      <c r="U96" s="39"/>
      <c r="W96" s="814"/>
      <c r="X96" s="815"/>
      <c r="Y96" s="815"/>
      <c r="Z96" s="815"/>
      <c r="AA96" s="815"/>
      <c r="AB96" s="815"/>
      <c r="AC96" s="815"/>
      <c r="AD96" s="815"/>
      <c r="AE96" s="815"/>
      <c r="AF96" s="815"/>
      <c r="AG96" s="815"/>
      <c r="AH96" s="815"/>
      <c r="AI96" s="815"/>
      <c r="AJ96" s="816"/>
    </row>
    <row r="97" spans="1:36" ht="23.1" customHeight="1">
      <c r="A97" s="975"/>
      <c r="C97" s="47"/>
      <c r="D97" s="675"/>
      <c r="E97" s="367"/>
      <c r="F97" s="676"/>
      <c r="G97" s="676"/>
      <c r="H97" s="675"/>
      <c r="I97" s="676"/>
      <c r="J97" s="676"/>
      <c r="K97" s="676"/>
      <c r="L97" s="390"/>
      <c r="M97" s="390"/>
      <c r="N97" s="390"/>
      <c r="O97" s="390"/>
      <c r="P97" s="390"/>
      <c r="Q97" s="680"/>
      <c r="R97" s="381">
        <f t="shared" si="8"/>
        <v>0</v>
      </c>
      <c r="S97" s="683"/>
      <c r="T97" s="684"/>
      <c r="U97" s="39"/>
      <c r="W97" s="814"/>
      <c r="X97" s="815"/>
      <c r="Y97" s="815"/>
      <c r="Z97" s="815"/>
      <c r="AA97" s="815"/>
      <c r="AB97" s="815"/>
      <c r="AC97" s="815"/>
      <c r="AD97" s="815"/>
      <c r="AE97" s="815"/>
      <c r="AF97" s="815"/>
      <c r="AG97" s="815"/>
      <c r="AH97" s="815"/>
      <c r="AI97" s="815"/>
      <c r="AJ97" s="816"/>
    </row>
    <row r="98" spans="1:36" ht="23.1" customHeight="1">
      <c r="A98" s="975"/>
      <c r="C98" s="47"/>
      <c r="D98" s="675"/>
      <c r="E98" s="367"/>
      <c r="F98" s="676"/>
      <c r="G98" s="676"/>
      <c r="H98" s="675"/>
      <c r="I98" s="676"/>
      <c r="J98" s="676"/>
      <c r="K98" s="676"/>
      <c r="L98" s="390"/>
      <c r="M98" s="390"/>
      <c r="N98" s="390"/>
      <c r="O98" s="390"/>
      <c r="P98" s="390"/>
      <c r="Q98" s="680"/>
      <c r="R98" s="381">
        <f t="shared" si="8"/>
        <v>0</v>
      </c>
      <c r="S98" s="683"/>
      <c r="T98" s="684"/>
      <c r="U98" s="39"/>
      <c r="W98" s="814"/>
      <c r="X98" s="815"/>
      <c r="Y98" s="815"/>
      <c r="Z98" s="815"/>
      <c r="AA98" s="815"/>
      <c r="AB98" s="815"/>
      <c r="AC98" s="815"/>
      <c r="AD98" s="815"/>
      <c r="AE98" s="815"/>
      <c r="AF98" s="815"/>
      <c r="AG98" s="815"/>
      <c r="AH98" s="815"/>
      <c r="AI98" s="815"/>
      <c r="AJ98" s="816"/>
    </row>
    <row r="99" spans="1:36" ht="23.1" customHeight="1">
      <c r="A99" s="975"/>
      <c r="C99" s="47"/>
      <c r="D99" s="675"/>
      <c r="E99" s="367"/>
      <c r="F99" s="676"/>
      <c r="G99" s="676"/>
      <c r="H99" s="675"/>
      <c r="I99" s="676"/>
      <c r="J99" s="676"/>
      <c r="K99" s="676"/>
      <c r="L99" s="390"/>
      <c r="M99" s="390"/>
      <c r="N99" s="390"/>
      <c r="O99" s="390"/>
      <c r="P99" s="390"/>
      <c r="Q99" s="680"/>
      <c r="R99" s="381">
        <f t="shared" si="8"/>
        <v>0</v>
      </c>
      <c r="S99" s="683"/>
      <c r="T99" s="684"/>
      <c r="U99" s="39"/>
      <c r="W99" s="814"/>
      <c r="X99" s="815"/>
      <c r="Y99" s="815"/>
      <c r="Z99" s="815"/>
      <c r="AA99" s="815"/>
      <c r="AB99" s="815"/>
      <c r="AC99" s="815"/>
      <c r="AD99" s="815"/>
      <c r="AE99" s="815"/>
      <c r="AF99" s="815"/>
      <c r="AG99" s="815"/>
      <c r="AH99" s="815"/>
      <c r="AI99" s="815"/>
      <c r="AJ99" s="816"/>
    </row>
    <row r="100" spans="1:36" ht="23.1" customHeight="1">
      <c r="A100" s="975"/>
      <c r="C100" s="47"/>
      <c r="D100" s="675"/>
      <c r="E100" s="367"/>
      <c r="F100" s="676"/>
      <c r="G100" s="676"/>
      <c r="H100" s="675"/>
      <c r="I100" s="676"/>
      <c r="J100" s="676"/>
      <c r="K100" s="676"/>
      <c r="L100" s="390"/>
      <c r="M100" s="390"/>
      <c r="N100" s="390"/>
      <c r="O100" s="390"/>
      <c r="P100" s="390"/>
      <c r="Q100" s="680"/>
      <c r="R100" s="381">
        <f t="shared" si="8"/>
        <v>0</v>
      </c>
      <c r="S100" s="683"/>
      <c r="T100" s="684"/>
      <c r="U100" s="39"/>
      <c r="W100" s="814"/>
      <c r="X100" s="815"/>
      <c r="Y100" s="815"/>
      <c r="Z100" s="815"/>
      <c r="AA100" s="815"/>
      <c r="AB100" s="815"/>
      <c r="AC100" s="815"/>
      <c r="AD100" s="815"/>
      <c r="AE100" s="815"/>
      <c r="AF100" s="815"/>
      <c r="AG100" s="815"/>
      <c r="AH100" s="815"/>
      <c r="AI100" s="815"/>
      <c r="AJ100" s="816"/>
    </row>
    <row r="101" spans="1:36" ht="23.1" customHeight="1">
      <c r="A101" s="975"/>
      <c r="C101" s="47"/>
      <c r="D101" s="675"/>
      <c r="E101" s="367"/>
      <c r="F101" s="676"/>
      <c r="G101" s="676"/>
      <c r="H101" s="675"/>
      <c r="I101" s="676"/>
      <c r="J101" s="676"/>
      <c r="K101" s="676"/>
      <c r="L101" s="390"/>
      <c r="M101" s="390"/>
      <c r="N101" s="390"/>
      <c r="O101" s="390"/>
      <c r="P101" s="390"/>
      <c r="Q101" s="680"/>
      <c r="R101" s="381">
        <f t="shared" si="8"/>
        <v>0</v>
      </c>
      <c r="S101" s="683"/>
      <c r="T101" s="684"/>
      <c r="U101" s="39"/>
      <c r="W101" s="814"/>
      <c r="X101" s="815"/>
      <c r="Y101" s="815"/>
      <c r="Z101" s="815"/>
      <c r="AA101" s="815"/>
      <c r="AB101" s="815"/>
      <c r="AC101" s="815"/>
      <c r="AD101" s="815"/>
      <c r="AE101" s="815"/>
      <c r="AF101" s="815"/>
      <c r="AG101" s="815"/>
      <c r="AH101" s="815"/>
      <c r="AI101" s="815"/>
      <c r="AJ101" s="816"/>
    </row>
    <row r="102" spans="1:36" ht="23.1" customHeight="1">
      <c r="A102" s="975"/>
      <c r="C102" s="47"/>
      <c r="D102" s="675"/>
      <c r="E102" s="367"/>
      <c r="F102" s="676"/>
      <c r="G102" s="676"/>
      <c r="H102" s="675"/>
      <c r="I102" s="676"/>
      <c r="J102" s="676"/>
      <c r="K102" s="676"/>
      <c r="L102" s="390"/>
      <c r="M102" s="390"/>
      <c r="N102" s="390"/>
      <c r="O102" s="390"/>
      <c r="P102" s="390"/>
      <c r="Q102" s="680"/>
      <c r="R102" s="381">
        <f t="shared" si="8"/>
        <v>0</v>
      </c>
      <c r="S102" s="683"/>
      <c r="T102" s="684"/>
      <c r="U102" s="39"/>
      <c r="W102" s="814"/>
      <c r="X102" s="815"/>
      <c r="Y102" s="815"/>
      <c r="Z102" s="815"/>
      <c r="AA102" s="815"/>
      <c r="AB102" s="815"/>
      <c r="AC102" s="815"/>
      <c r="AD102" s="815"/>
      <c r="AE102" s="815"/>
      <c r="AF102" s="815"/>
      <c r="AG102" s="815"/>
      <c r="AH102" s="815"/>
      <c r="AI102" s="815"/>
      <c r="AJ102" s="816"/>
    </row>
    <row r="103" spans="1:36" ht="23.1" customHeight="1">
      <c r="A103" s="975"/>
      <c r="C103" s="47"/>
      <c r="D103" s="675"/>
      <c r="E103" s="367"/>
      <c r="F103" s="676"/>
      <c r="G103" s="676"/>
      <c r="H103" s="675"/>
      <c r="I103" s="676"/>
      <c r="J103" s="676"/>
      <c r="K103" s="676"/>
      <c r="L103" s="390"/>
      <c r="M103" s="390"/>
      <c r="N103" s="390"/>
      <c r="O103" s="390"/>
      <c r="P103" s="390"/>
      <c r="Q103" s="680"/>
      <c r="R103" s="381">
        <f t="shared" si="8"/>
        <v>0</v>
      </c>
      <c r="S103" s="683"/>
      <c r="T103" s="684"/>
      <c r="U103" s="39"/>
      <c r="W103" s="814"/>
      <c r="X103" s="815"/>
      <c r="Y103" s="815"/>
      <c r="Z103" s="815"/>
      <c r="AA103" s="815"/>
      <c r="AB103" s="815"/>
      <c r="AC103" s="815"/>
      <c r="AD103" s="815"/>
      <c r="AE103" s="815"/>
      <c r="AF103" s="815"/>
      <c r="AG103" s="815"/>
      <c r="AH103" s="815"/>
      <c r="AI103" s="815"/>
      <c r="AJ103" s="816"/>
    </row>
    <row r="104" spans="1:36" ht="23.1" customHeight="1">
      <c r="A104" s="975"/>
      <c r="C104" s="47"/>
      <c r="D104" s="675"/>
      <c r="E104" s="367"/>
      <c r="F104" s="676"/>
      <c r="G104" s="676"/>
      <c r="H104" s="675"/>
      <c r="I104" s="676"/>
      <c r="J104" s="676"/>
      <c r="K104" s="676"/>
      <c r="L104" s="390"/>
      <c r="M104" s="390"/>
      <c r="N104" s="390"/>
      <c r="O104" s="390"/>
      <c r="P104" s="390"/>
      <c r="Q104" s="680"/>
      <c r="R104" s="381">
        <f t="shared" si="8"/>
        <v>0</v>
      </c>
      <c r="S104" s="683"/>
      <c r="T104" s="684"/>
      <c r="U104" s="39"/>
      <c r="W104" s="814"/>
      <c r="X104" s="815"/>
      <c r="Y104" s="815"/>
      <c r="Z104" s="815"/>
      <c r="AA104" s="815"/>
      <c r="AB104" s="815"/>
      <c r="AC104" s="815"/>
      <c r="AD104" s="815"/>
      <c r="AE104" s="815"/>
      <c r="AF104" s="815"/>
      <c r="AG104" s="815"/>
      <c r="AH104" s="815"/>
      <c r="AI104" s="815"/>
      <c r="AJ104" s="816"/>
    </row>
    <row r="105" spans="1:36" ht="23.1" customHeight="1">
      <c r="A105" s="975"/>
      <c r="C105" s="47"/>
      <c r="D105" s="675"/>
      <c r="E105" s="367"/>
      <c r="F105" s="676"/>
      <c r="G105" s="676"/>
      <c r="H105" s="675"/>
      <c r="I105" s="676"/>
      <c r="J105" s="676"/>
      <c r="K105" s="676"/>
      <c r="L105" s="390"/>
      <c r="M105" s="390"/>
      <c r="N105" s="390"/>
      <c r="O105" s="390"/>
      <c r="P105" s="390"/>
      <c r="Q105" s="680"/>
      <c r="R105" s="381">
        <f t="shared" si="8"/>
        <v>0</v>
      </c>
      <c r="S105" s="683"/>
      <c r="T105" s="684"/>
      <c r="U105" s="39"/>
      <c r="W105" s="814"/>
      <c r="X105" s="815"/>
      <c r="Y105" s="815"/>
      <c r="Z105" s="815"/>
      <c r="AA105" s="815"/>
      <c r="AB105" s="815"/>
      <c r="AC105" s="815"/>
      <c r="AD105" s="815"/>
      <c r="AE105" s="815"/>
      <c r="AF105" s="815"/>
      <c r="AG105" s="815"/>
      <c r="AH105" s="815"/>
      <c r="AI105" s="815"/>
      <c r="AJ105" s="816"/>
    </row>
    <row r="106" spans="1:36" ht="23.1" customHeight="1">
      <c r="A106" s="975"/>
      <c r="C106" s="47"/>
      <c r="D106" s="675"/>
      <c r="E106" s="367"/>
      <c r="F106" s="676"/>
      <c r="G106" s="676"/>
      <c r="H106" s="675"/>
      <c r="I106" s="676"/>
      <c r="J106" s="676"/>
      <c r="K106" s="676"/>
      <c r="L106" s="390"/>
      <c r="M106" s="390"/>
      <c r="N106" s="390"/>
      <c r="O106" s="390"/>
      <c r="P106" s="390"/>
      <c r="Q106" s="680"/>
      <c r="R106" s="381">
        <f t="shared" si="8"/>
        <v>0</v>
      </c>
      <c r="S106" s="683"/>
      <c r="T106" s="684"/>
      <c r="U106" s="39"/>
      <c r="W106" s="814"/>
      <c r="X106" s="815"/>
      <c r="Y106" s="815"/>
      <c r="Z106" s="815"/>
      <c r="AA106" s="815"/>
      <c r="AB106" s="815"/>
      <c r="AC106" s="815"/>
      <c r="AD106" s="815"/>
      <c r="AE106" s="815"/>
      <c r="AF106" s="815"/>
      <c r="AG106" s="815"/>
      <c r="AH106" s="815"/>
      <c r="AI106" s="815"/>
      <c r="AJ106" s="816"/>
    </row>
    <row r="107" spans="1:36" ht="23.1" customHeight="1">
      <c r="A107" s="975"/>
      <c r="C107" s="47"/>
      <c r="D107" s="675"/>
      <c r="E107" s="367"/>
      <c r="F107" s="676"/>
      <c r="G107" s="676"/>
      <c r="H107" s="675"/>
      <c r="I107" s="676"/>
      <c r="J107" s="676"/>
      <c r="K107" s="676"/>
      <c r="L107" s="390"/>
      <c r="M107" s="390"/>
      <c r="N107" s="390"/>
      <c r="O107" s="390"/>
      <c r="P107" s="390"/>
      <c r="Q107" s="680"/>
      <c r="R107" s="381">
        <f t="shared" si="8"/>
        <v>0</v>
      </c>
      <c r="S107" s="683"/>
      <c r="T107" s="684"/>
      <c r="U107" s="39"/>
      <c r="W107" s="814"/>
      <c r="X107" s="815"/>
      <c r="Y107" s="815"/>
      <c r="Z107" s="815"/>
      <c r="AA107" s="815"/>
      <c r="AB107" s="815"/>
      <c r="AC107" s="815"/>
      <c r="AD107" s="815"/>
      <c r="AE107" s="815"/>
      <c r="AF107" s="815"/>
      <c r="AG107" s="815"/>
      <c r="AH107" s="815"/>
      <c r="AI107" s="815"/>
      <c r="AJ107" s="816"/>
    </row>
    <row r="108" spans="1:36" ht="23.1" customHeight="1">
      <c r="A108" s="975"/>
      <c r="C108" s="47"/>
      <c r="D108" s="675"/>
      <c r="E108" s="367"/>
      <c r="F108" s="676"/>
      <c r="G108" s="676"/>
      <c r="H108" s="675"/>
      <c r="I108" s="676"/>
      <c r="J108" s="676"/>
      <c r="K108" s="676"/>
      <c r="L108" s="390"/>
      <c r="M108" s="390"/>
      <c r="N108" s="390"/>
      <c r="O108" s="390"/>
      <c r="P108" s="390"/>
      <c r="Q108" s="680"/>
      <c r="R108" s="381">
        <f t="shared" si="8"/>
        <v>0</v>
      </c>
      <c r="S108" s="683"/>
      <c r="T108" s="684"/>
      <c r="U108" s="39"/>
      <c r="W108" s="814"/>
      <c r="X108" s="815"/>
      <c r="Y108" s="815"/>
      <c r="Z108" s="815"/>
      <c r="AA108" s="815"/>
      <c r="AB108" s="815"/>
      <c r="AC108" s="815"/>
      <c r="AD108" s="815"/>
      <c r="AE108" s="815"/>
      <c r="AF108" s="815"/>
      <c r="AG108" s="815"/>
      <c r="AH108" s="815"/>
      <c r="AI108" s="815"/>
      <c r="AJ108" s="816"/>
    </row>
    <row r="109" spans="1:36" ht="23.1" customHeight="1">
      <c r="A109" s="975"/>
      <c r="C109" s="47"/>
      <c r="D109" s="675"/>
      <c r="E109" s="685"/>
      <c r="F109" s="686"/>
      <c r="G109" s="686"/>
      <c r="H109" s="687"/>
      <c r="I109" s="686"/>
      <c r="J109" s="686"/>
      <c r="K109" s="686"/>
      <c r="L109" s="635"/>
      <c r="M109" s="635"/>
      <c r="N109" s="635"/>
      <c r="O109" s="635"/>
      <c r="P109" s="635"/>
      <c r="Q109" s="689"/>
      <c r="R109" s="381">
        <f t="shared" si="8"/>
        <v>0</v>
      </c>
      <c r="S109" s="683"/>
      <c r="T109" s="684"/>
      <c r="U109" s="39"/>
      <c r="W109" s="814"/>
      <c r="X109" s="815"/>
      <c r="Y109" s="815"/>
      <c r="Z109" s="815"/>
      <c r="AA109" s="815"/>
      <c r="AB109" s="815"/>
      <c r="AC109" s="815"/>
      <c r="AD109" s="815"/>
      <c r="AE109" s="815"/>
      <c r="AF109" s="815"/>
      <c r="AG109" s="815"/>
      <c r="AH109" s="815"/>
      <c r="AI109" s="815"/>
      <c r="AJ109" s="816"/>
    </row>
    <row r="110" spans="1:36" ht="23.1" customHeight="1">
      <c r="A110" s="975"/>
      <c r="C110" s="47"/>
      <c r="D110" s="690"/>
      <c r="E110" s="691"/>
      <c r="F110" s="692"/>
      <c r="G110" s="692"/>
      <c r="H110" s="690"/>
      <c r="I110" s="692"/>
      <c r="J110" s="692"/>
      <c r="K110" s="692"/>
      <c r="L110" s="638"/>
      <c r="M110" s="638"/>
      <c r="N110" s="638"/>
      <c r="O110" s="638"/>
      <c r="P110" s="638"/>
      <c r="Q110" s="694"/>
      <c r="R110" s="381">
        <f t="shared" si="8"/>
        <v>0</v>
      </c>
      <c r="S110" s="695"/>
      <c r="T110" s="696"/>
      <c r="U110" s="39"/>
      <c r="W110" s="814"/>
      <c r="X110" s="815"/>
      <c r="Y110" s="815"/>
      <c r="Z110" s="815"/>
      <c r="AA110" s="815"/>
      <c r="AB110" s="815"/>
      <c r="AC110" s="815"/>
      <c r="AD110" s="815"/>
      <c r="AE110" s="815"/>
      <c r="AF110" s="815"/>
      <c r="AG110" s="815"/>
      <c r="AH110" s="815"/>
      <c r="AI110" s="815"/>
      <c r="AJ110" s="816"/>
    </row>
    <row r="111" spans="1:36" ht="23.1" customHeight="1" thickBot="1">
      <c r="A111" s="975"/>
      <c r="C111" s="47"/>
      <c r="D111" s="632"/>
      <c r="E111" s="632"/>
      <c r="F111" s="99"/>
      <c r="G111" s="99"/>
      <c r="H111" s="99"/>
      <c r="I111" s="1227" t="s">
        <v>660</v>
      </c>
      <c r="J111" s="1228"/>
      <c r="K111" s="1229"/>
      <c r="L111" s="116">
        <f t="shared" ref="L111:T111" si="9">SUM(L86:L110)</f>
        <v>5140.8</v>
      </c>
      <c r="M111" s="116">
        <f t="shared" si="9"/>
        <v>7115.8</v>
      </c>
      <c r="N111" s="116">
        <f t="shared" si="9"/>
        <v>500</v>
      </c>
      <c r="O111" s="116">
        <f t="shared" si="9"/>
        <v>0</v>
      </c>
      <c r="P111" s="116">
        <f t="shared" si="9"/>
        <v>0</v>
      </c>
      <c r="Q111" s="116">
        <f t="shared" si="9"/>
        <v>0</v>
      </c>
      <c r="R111" s="384">
        <f t="shared" si="9"/>
        <v>7615.8</v>
      </c>
      <c r="S111" s="116">
        <f t="shared" si="9"/>
        <v>2475</v>
      </c>
      <c r="T111" s="116">
        <f t="shared" si="9"/>
        <v>5140.8</v>
      </c>
      <c r="U111" s="39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spans="1:36" ht="23.1" customHeight="1" thickBot="1">
      <c r="A112" s="975"/>
      <c r="C112" s="47"/>
      <c r="D112" s="632"/>
      <c r="E112" s="632"/>
      <c r="F112" s="99"/>
      <c r="G112" s="99"/>
      <c r="H112" s="99"/>
      <c r="I112" s="1227" t="s">
        <v>629</v>
      </c>
      <c r="J112" s="1228"/>
      <c r="K112" s="1229"/>
      <c r="L112" s="116">
        <f t="shared" ref="L112:Q112" si="10">L75+L111</f>
        <v>185140.8</v>
      </c>
      <c r="M112" s="116">
        <f t="shared" si="10"/>
        <v>87115.8</v>
      </c>
      <c r="N112" s="116">
        <f t="shared" si="10"/>
        <v>500</v>
      </c>
      <c r="O112" s="116">
        <f t="shared" si="10"/>
        <v>0</v>
      </c>
      <c r="P112" s="116">
        <f t="shared" si="10"/>
        <v>80000</v>
      </c>
      <c r="Q112" s="116">
        <f t="shared" si="10"/>
        <v>0</v>
      </c>
      <c r="R112" s="384">
        <f t="shared" ref="R112:T112" si="11">R75+R111</f>
        <v>7615.8</v>
      </c>
      <c r="S112" s="115">
        <f t="shared" si="11"/>
        <v>2475</v>
      </c>
      <c r="T112" s="70">
        <f t="shared" si="11"/>
        <v>5140.8</v>
      </c>
      <c r="U112" s="39"/>
      <c r="W112" s="814"/>
      <c r="X112" s="815"/>
      <c r="Y112" s="815"/>
      <c r="Z112" s="815"/>
      <c r="AA112" s="815"/>
      <c r="AB112" s="815"/>
      <c r="AC112" s="815"/>
      <c r="AD112" s="815"/>
      <c r="AE112" s="815"/>
      <c r="AF112" s="815"/>
      <c r="AG112" s="815"/>
      <c r="AH112" s="815"/>
      <c r="AI112" s="815"/>
      <c r="AJ112" s="816"/>
    </row>
    <row r="113" spans="1:36" ht="23.1" customHeight="1">
      <c r="A113" s="975"/>
      <c r="C113" s="47"/>
      <c r="D113" s="632"/>
      <c r="E113" s="632"/>
      <c r="F113" s="99"/>
      <c r="G113" s="99"/>
      <c r="H113" s="99"/>
      <c r="I113" s="292"/>
      <c r="J113" s="292"/>
      <c r="K113" s="292"/>
      <c r="L113" s="99"/>
      <c r="M113" s="99"/>
      <c r="N113" s="99"/>
      <c r="O113" s="99"/>
      <c r="P113" s="99"/>
      <c r="Q113" s="99"/>
      <c r="R113" s="99"/>
      <c r="S113" s="99"/>
      <c r="T113" s="99"/>
      <c r="U113" s="39"/>
      <c r="W113" s="814"/>
      <c r="X113" s="815"/>
      <c r="Y113" s="815"/>
      <c r="Z113" s="815"/>
      <c r="AA113" s="815"/>
      <c r="AB113" s="815"/>
      <c r="AC113" s="815"/>
      <c r="AD113" s="815"/>
      <c r="AE113" s="815"/>
      <c r="AF113" s="815"/>
      <c r="AG113" s="815"/>
      <c r="AH113" s="815"/>
      <c r="AI113" s="815"/>
      <c r="AJ113" s="816"/>
    </row>
    <row r="114" spans="1:36" ht="23.1" customHeight="1">
      <c r="A114" s="975"/>
      <c r="C114" s="47"/>
      <c r="D114" s="28" t="s">
        <v>661</v>
      </c>
      <c r="E114" s="604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9"/>
      <c r="W114" s="814"/>
      <c r="X114" s="815"/>
      <c r="Y114" s="815"/>
      <c r="Z114" s="815"/>
      <c r="AA114" s="815"/>
      <c r="AB114" s="815"/>
      <c r="AC114" s="815"/>
      <c r="AD114" s="815"/>
      <c r="AE114" s="815"/>
      <c r="AF114" s="815"/>
      <c r="AG114" s="815"/>
      <c r="AH114" s="815"/>
      <c r="AI114" s="815"/>
      <c r="AJ114" s="816"/>
    </row>
    <row r="115" spans="1:36" ht="23.1" customHeight="1">
      <c r="A115" s="975"/>
      <c r="C115" s="47"/>
      <c r="D115" s="604"/>
      <c r="E115" s="604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9"/>
      <c r="W115" s="814"/>
      <c r="X115" s="815"/>
      <c r="Y115" s="815"/>
      <c r="Z115" s="815"/>
      <c r="AA115" s="815"/>
      <c r="AB115" s="815"/>
      <c r="AC115" s="815"/>
      <c r="AD115" s="815"/>
      <c r="AE115" s="815"/>
      <c r="AF115" s="815"/>
      <c r="AG115" s="815"/>
      <c r="AH115" s="815"/>
      <c r="AI115" s="815"/>
      <c r="AJ115" s="816"/>
    </row>
    <row r="116" spans="1:36" ht="23.1" customHeight="1">
      <c r="A116" s="975"/>
      <c r="C116" s="47"/>
      <c r="D116" s="604"/>
      <c r="E116" s="604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9"/>
      <c r="W116" s="814"/>
      <c r="X116" s="815"/>
      <c r="Y116" s="815"/>
      <c r="Z116" s="815"/>
      <c r="AA116" s="815"/>
      <c r="AB116" s="815"/>
      <c r="AC116" s="815"/>
      <c r="AD116" s="815"/>
      <c r="AE116" s="815"/>
      <c r="AF116" s="815"/>
      <c r="AG116" s="815"/>
      <c r="AH116" s="815"/>
      <c r="AI116" s="815"/>
      <c r="AJ116" s="816"/>
    </row>
    <row r="117" spans="1:36" ht="38.1" customHeight="1">
      <c r="A117" s="975"/>
      <c r="C117" s="47"/>
      <c r="D117" s="86" t="s">
        <v>605</v>
      </c>
      <c r="E117" s="122" t="s">
        <v>606</v>
      </c>
      <c r="F117" s="86" t="s">
        <v>607</v>
      </c>
      <c r="G117" s="86" t="s">
        <v>607</v>
      </c>
      <c r="H117" s="86" t="s">
        <v>608</v>
      </c>
      <c r="I117" s="86" t="s">
        <v>609</v>
      </c>
      <c r="J117" s="86" t="s">
        <v>610</v>
      </c>
      <c r="K117" s="86" t="s">
        <v>611</v>
      </c>
      <c r="L117" s="86" t="s">
        <v>612</v>
      </c>
      <c r="M117" s="86" t="s">
        <v>613</v>
      </c>
      <c r="N117" s="377" t="s">
        <v>614</v>
      </c>
      <c r="O117" s="86" t="s">
        <v>615</v>
      </c>
      <c r="P117" s="86" t="s">
        <v>616</v>
      </c>
      <c r="Q117" s="378" t="s">
        <v>617</v>
      </c>
      <c r="R117" s="86" t="s">
        <v>613</v>
      </c>
      <c r="S117" s="1204" t="s">
        <v>618</v>
      </c>
      <c r="T117" s="1205"/>
      <c r="U117" s="39"/>
      <c r="W117" s="814"/>
      <c r="X117" s="815"/>
      <c r="Y117" s="815"/>
      <c r="Z117" s="815"/>
      <c r="AA117" s="815"/>
      <c r="AB117" s="815"/>
      <c r="AC117" s="815"/>
      <c r="AD117" s="815"/>
      <c r="AE117" s="815"/>
      <c r="AF117" s="815"/>
      <c r="AG117" s="815"/>
      <c r="AH117" s="815"/>
      <c r="AI117" s="815"/>
      <c r="AJ117" s="816"/>
    </row>
    <row r="118" spans="1:36" ht="23.1" customHeight="1">
      <c r="A118" s="975"/>
      <c r="C118" s="47"/>
      <c r="D118" s="126" t="s">
        <v>619</v>
      </c>
      <c r="E118" s="127" t="s">
        <v>619</v>
      </c>
      <c r="F118" s="126" t="s">
        <v>620</v>
      </c>
      <c r="G118" s="126" t="s">
        <v>621</v>
      </c>
      <c r="H118" s="126" t="s">
        <v>622</v>
      </c>
      <c r="I118" s="126" t="s">
        <v>623</v>
      </c>
      <c r="J118" s="126" t="s">
        <v>624</v>
      </c>
      <c r="K118" s="126" t="s">
        <v>625</v>
      </c>
      <c r="L118" s="126" t="s">
        <v>626</v>
      </c>
      <c r="M118" s="126">
        <f>ejercicio-1</f>
        <v>2021</v>
      </c>
      <c r="N118" s="126">
        <f>ejercicio</f>
        <v>2022</v>
      </c>
      <c r="O118" s="126">
        <f>ejercicio</f>
        <v>2022</v>
      </c>
      <c r="P118" s="126">
        <f>ejercicio</f>
        <v>2022</v>
      </c>
      <c r="Q118" s="126">
        <f>ejercicio</f>
        <v>2022</v>
      </c>
      <c r="R118" s="126">
        <f>ejercicio</f>
        <v>2022</v>
      </c>
      <c r="S118" s="379" t="s">
        <v>627</v>
      </c>
      <c r="T118" s="380" t="s">
        <v>628</v>
      </c>
      <c r="U118" s="39"/>
      <c r="W118" s="814"/>
      <c r="X118" s="815"/>
      <c r="Y118" s="815"/>
      <c r="Z118" s="815"/>
      <c r="AA118" s="815"/>
      <c r="AB118" s="815"/>
      <c r="AC118" s="815"/>
      <c r="AD118" s="815"/>
      <c r="AE118" s="815"/>
      <c r="AF118" s="815"/>
      <c r="AG118" s="815"/>
      <c r="AH118" s="815"/>
      <c r="AI118" s="815"/>
      <c r="AJ118" s="816"/>
    </row>
    <row r="119" spans="1:36" ht="23.1" customHeight="1">
      <c r="A119" s="975"/>
      <c r="C119" s="47"/>
      <c r="D119" s="675"/>
      <c r="E119" s="367"/>
      <c r="F119" s="676"/>
      <c r="G119" s="676"/>
      <c r="H119" s="675"/>
      <c r="I119" s="676"/>
      <c r="J119" s="676"/>
      <c r="K119" s="295"/>
      <c r="L119" s="390"/>
      <c r="M119" s="390"/>
      <c r="N119" s="679"/>
      <c r="O119" s="679"/>
      <c r="P119" s="679"/>
      <c r="Q119" s="680"/>
      <c r="R119" s="385">
        <f>M119+N119-O119</f>
        <v>0</v>
      </c>
      <c r="S119" s="681"/>
      <c r="T119" s="682"/>
      <c r="U119" s="39"/>
      <c r="W119" s="814"/>
      <c r="X119" s="815"/>
      <c r="Y119" s="815"/>
      <c r="Z119" s="815"/>
      <c r="AA119" s="815"/>
      <c r="AB119" s="815"/>
      <c r="AC119" s="815"/>
      <c r="AD119" s="815"/>
      <c r="AE119" s="815"/>
      <c r="AF119" s="815"/>
      <c r="AG119" s="815"/>
      <c r="AH119" s="815"/>
      <c r="AI119" s="815"/>
      <c r="AJ119" s="816"/>
    </row>
    <row r="120" spans="1:36" ht="23.1" customHeight="1">
      <c r="A120" s="975"/>
      <c r="C120" s="47"/>
      <c r="D120" s="675"/>
      <c r="E120" s="367"/>
      <c r="F120" s="676"/>
      <c r="G120" s="676"/>
      <c r="H120" s="675"/>
      <c r="I120" s="676"/>
      <c r="J120" s="676"/>
      <c r="K120" s="676"/>
      <c r="L120" s="390"/>
      <c r="M120" s="390"/>
      <c r="N120" s="390"/>
      <c r="O120" s="390"/>
      <c r="P120" s="390"/>
      <c r="Q120" s="680"/>
      <c r="R120" s="381">
        <f t="shared" ref="R120:R143" si="12">M120+N120-O120</f>
        <v>0</v>
      </c>
      <c r="S120" s="683"/>
      <c r="T120" s="684"/>
      <c r="U120" s="39"/>
      <c r="W120" s="814"/>
      <c r="X120" s="815"/>
      <c r="Y120" s="815"/>
      <c r="Z120" s="815"/>
      <c r="AA120" s="815"/>
      <c r="AB120" s="815"/>
      <c r="AC120" s="815"/>
      <c r="AD120" s="815"/>
      <c r="AE120" s="815"/>
      <c r="AF120" s="815"/>
      <c r="AG120" s="815"/>
      <c r="AH120" s="815"/>
      <c r="AI120" s="815"/>
      <c r="AJ120" s="816"/>
    </row>
    <row r="121" spans="1:36" ht="23.1" customHeight="1">
      <c r="A121" s="975"/>
      <c r="C121" s="47"/>
      <c r="D121" s="675"/>
      <c r="E121" s="367"/>
      <c r="F121" s="676" t="s">
        <v>659</v>
      </c>
      <c r="G121" s="676"/>
      <c r="H121" s="675"/>
      <c r="I121" s="676"/>
      <c r="J121" s="676"/>
      <c r="K121" s="676"/>
      <c r="L121" s="390"/>
      <c r="M121" s="390"/>
      <c r="N121" s="390"/>
      <c r="O121" s="390"/>
      <c r="P121" s="390"/>
      <c r="Q121" s="680"/>
      <c r="R121" s="381">
        <f t="shared" si="12"/>
        <v>0</v>
      </c>
      <c r="S121" s="683"/>
      <c r="T121" s="684"/>
      <c r="U121" s="39"/>
      <c r="W121" s="814"/>
      <c r="X121" s="815"/>
      <c r="Y121" s="815"/>
      <c r="Z121" s="815"/>
      <c r="AA121" s="815"/>
      <c r="AB121" s="815"/>
      <c r="AC121" s="815"/>
      <c r="AD121" s="815"/>
      <c r="AE121" s="815"/>
      <c r="AF121" s="815"/>
      <c r="AG121" s="815"/>
      <c r="AH121" s="815"/>
      <c r="AI121" s="815"/>
      <c r="AJ121" s="816"/>
    </row>
    <row r="122" spans="1:36" ht="23.1" customHeight="1">
      <c r="A122" s="975"/>
      <c r="C122" s="47"/>
      <c r="D122" s="675"/>
      <c r="E122" s="367"/>
      <c r="F122" s="676"/>
      <c r="G122" s="676"/>
      <c r="H122" s="675"/>
      <c r="I122" s="676"/>
      <c r="J122" s="676"/>
      <c r="K122" s="676"/>
      <c r="L122" s="390"/>
      <c r="M122" s="390"/>
      <c r="N122" s="390"/>
      <c r="O122" s="390"/>
      <c r="P122" s="390"/>
      <c r="Q122" s="680"/>
      <c r="R122" s="381">
        <f t="shared" si="12"/>
        <v>0</v>
      </c>
      <c r="S122" s="683"/>
      <c r="T122" s="684"/>
      <c r="U122" s="39"/>
      <c r="W122" s="814"/>
      <c r="X122" s="815"/>
      <c r="Y122" s="815"/>
      <c r="Z122" s="815"/>
      <c r="AA122" s="815"/>
      <c r="AB122" s="815"/>
      <c r="AC122" s="815"/>
      <c r="AD122" s="815"/>
      <c r="AE122" s="815"/>
      <c r="AF122" s="815"/>
      <c r="AG122" s="815"/>
      <c r="AH122" s="815"/>
      <c r="AI122" s="815"/>
      <c r="AJ122" s="816"/>
    </row>
    <row r="123" spans="1:36" ht="23.1" customHeight="1">
      <c r="A123" s="975"/>
      <c r="C123" s="47"/>
      <c r="D123" s="675"/>
      <c r="E123" s="367"/>
      <c r="F123" s="676"/>
      <c r="G123" s="676"/>
      <c r="H123" s="675"/>
      <c r="I123" s="676"/>
      <c r="J123" s="676"/>
      <c r="K123" s="676"/>
      <c r="L123" s="390"/>
      <c r="M123" s="390"/>
      <c r="N123" s="390"/>
      <c r="O123" s="390"/>
      <c r="P123" s="390"/>
      <c r="Q123" s="680"/>
      <c r="R123" s="381">
        <f t="shared" si="12"/>
        <v>0</v>
      </c>
      <c r="S123" s="683"/>
      <c r="T123" s="684"/>
      <c r="U123" s="39"/>
      <c r="W123" s="814"/>
      <c r="X123" s="815"/>
      <c r="Y123" s="815"/>
      <c r="Z123" s="815"/>
      <c r="AA123" s="815"/>
      <c r="AB123" s="815"/>
      <c r="AC123" s="815"/>
      <c r="AD123" s="815"/>
      <c r="AE123" s="815"/>
      <c r="AF123" s="815"/>
      <c r="AG123" s="815"/>
      <c r="AH123" s="815"/>
      <c r="AI123" s="815"/>
      <c r="AJ123" s="816"/>
    </row>
    <row r="124" spans="1:36" ht="23.1" customHeight="1">
      <c r="A124" s="975"/>
      <c r="C124" s="47"/>
      <c r="D124" s="675"/>
      <c r="E124" s="367"/>
      <c r="F124" s="676"/>
      <c r="G124" s="676"/>
      <c r="H124" s="675"/>
      <c r="I124" s="676"/>
      <c r="J124" s="676"/>
      <c r="K124" s="676"/>
      <c r="L124" s="390"/>
      <c r="M124" s="390"/>
      <c r="N124" s="390"/>
      <c r="O124" s="390"/>
      <c r="P124" s="390"/>
      <c r="Q124" s="680"/>
      <c r="R124" s="381">
        <f t="shared" si="12"/>
        <v>0</v>
      </c>
      <c r="S124" s="683"/>
      <c r="T124" s="684"/>
      <c r="U124" s="39"/>
      <c r="W124" s="814"/>
      <c r="X124" s="815"/>
      <c r="Y124" s="815"/>
      <c r="Z124" s="815"/>
      <c r="AA124" s="815"/>
      <c r="AB124" s="815"/>
      <c r="AC124" s="815"/>
      <c r="AD124" s="815"/>
      <c r="AE124" s="815"/>
      <c r="AF124" s="815"/>
      <c r="AG124" s="815"/>
      <c r="AH124" s="815"/>
      <c r="AI124" s="815"/>
      <c r="AJ124" s="816"/>
    </row>
    <row r="125" spans="1:36" ht="23.1" customHeight="1">
      <c r="A125" s="975"/>
      <c r="C125" s="47"/>
      <c r="D125" s="675"/>
      <c r="E125" s="367"/>
      <c r="F125" s="676"/>
      <c r="G125" s="676"/>
      <c r="H125" s="675"/>
      <c r="I125" s="676"/>
      <c r="J125" s="676"/>
      <c r="K125" s="676"/>
      <c r="L125" s="390"/>
      <c r="M125" s="390"/>
      <c r="N125" s="390"/>
      <c r="O125" s="390"/>
      <c r="P125" s="390"/>
      <c r="Q125" s="680"/>
      <c r="R125" s="381">
        <f t="shared" si="12"/>
        <v>0</v>
      </c>
      <c r="S125" s="683"/>
      <c r="T125" s="684"/>
      <c r="U125" s="39"/>
      <c r="W125" s="814"/>
      <c r="X125" s="815"/>
      <c r="Y125" s="815"/>
      <c r="Z125" s="815"/>
      <c r="AA125" s="815"/>
      <c r="AB125" s="815"/>
      <c r="AC125" s="815"/>
      <c r="AD125" s="815"/>
      <c r="AE125" s="815"/>
      <c r="AF125" s="815"/>
      <c r="AG125" s="815"/>
      <c r="AH125" s="815"/>
      <c r="AI125" s="815"/>
      <c r="AJ125" s="816"/>
    </row>
    <row r="126" spans="1:36" ht="23.1" customHeight="1">
      <c r="A126" s="975"/>
      <c r="C126" s="47"/>
      <c r="D126" s="675"/>
      <c r="E126" s="367"/>
      <c r="F126" s="676"/>
      <c r="G126" s="676"/>
      <c r="H126" s="675"/>
      <c r="I126" s="676"/>
      <c r="J126" s="676"/>
      <c r="K126" s="676"/>
      <c r="L126" s="390"/>
      <c r="M126" s="390"/>
      <c r="N126" s="390"/>
      <c r="O126" s="390"/>
      <c r="P126" s="390"/>
      <c r="Q126" s="680"/>
      <c r="R126" s="381">
        <f t="shared" si="12"/>
        <v>0</v>
      </c>
      <c r="S126" s="683"/>
      <c r="T126" s="684"/>
      <c r="U126" s="39"/>
      <c r="W126" s="814"/>
      <c r="X126" s="815"/>
      <c r="Y126" s="815"/>
      <c r="Z126" s="815"/>
      <c r="AA126" s="815"/>
      <c r="AB126" s="815"/>
      <c r="AC126" s="815"/>
      <c r="AD126" s="815"/>
      <c r="AE126" s="815"/>
      <c r="AF126" s="815"/>
      <c r="AG126" s="815"/>
      <c r="AH126" s="815"/>
      <c r="AI126" s="815"/>
      <c r="AJ126" s="816"/>
    </row>
    <row r="127" spans="1:36" ht="23.1" customHeight="1">
      <c r="A127" s="975"/>
      <c r="C127" s="47"/>
      <c r="D127" s="675"/>
      <c r="E127" s="367"/>
      <c r="F127" s="676"/>
      <c r="G127" s="676"/>
      <c r="H127" s="675"/>
      <c r="I127" s="676"/>
      <c r="J127" s="676"/>
      <c r="K127" s="676"/>
      <c r="L127" s="390"/>
      <c r="M127" s="390"/>
      <c r="N127" s="390"/>
      <c r="O127" s="390"/>
      <c r="P127" s="390"/>
      <c r="Q127" s="680"/>
      <c r="R127" s="381">
        <f t="shared" si="12"/>
        <v>0</v>
      </c>
      <c r="S127" s="683"/>
      <c r="T127" s="684"/>
      <c r="U127" s="39"/>
      <c r="W127" s="814"/>
      <c r="X127" s="815"/>
      <c r="Y127" s="815"/>
      <c r="Z127" s="815"/>
      <c r="AA127" s="815"/>
      <c r="AB127" s="815"/>
      <c r="AC127" s="815"/>
      <c r="AD127" s="815"/>
      <c r="AE127" s="815"/>
      <c r="AF127" s="815"/>
      <c r="AG127" s="815"/>
      <c r="AH127" s="815"/>
      <c r="AI127" s="815"/>
      <c r="AJ127" s="816"/>
    </row>
    <row r="128" spans="1:36" ht="23.1" customHeight="1">
      <c r="A128" s="975"/>
      <c r="C128" s="47"/>
      <c r="D128" s="675"/>
      <c r="E128" s="367"/>
      <c r="F128" s="676"/>
      <c r="G128" s="676"/>
      <c r="H128" s="675"/>
      <c r="I128" s="676"/>
      <c r="J128" s="676"/>
      <c r="K128" s="676"/>
      <c r="L128" s="390"/>
      <c r="M128" s="390"/>
      <c r="N128" s="390"/>
      <c r="O128" s="390"/>
      <c r="P128" s="390"/>
      <c r="Q128" s="680"/>
      <c r="R128" s="381">
        <f t="shared" si="12"/>
        <v>0</v>
      </c>
      <c r="S128" s="683"/>
      <c r="T128" s="684"/>
      <c r="U128" s="39"/>
      <c r="W128" s="814"/>
      <c r="X128" s="815"/>
      <c r="Y128" s="815"/>
      <c r="Z128" s="815"/>
      <c r="AA128" s="815"/>
      <c r="AB128" s="815"/>
      <c r="AC128" s="815"/>
      <c r="AD128" s="815"/>
      <c r="AE128" s="815"/>
      <c r="AF128" s="815"/>
      <c r="AG128" s="815"/>
      <c r="AH128" s="815"/>
      <c r="AI128" s="815"/>
      <c r="AJ128" s="816"/>
    </row>
    <row r="129" spans="1:36" ht="23.1" customHeight="1">
      <c r="A129" s="975"/>
      <c r="C129" s="47"/>
      <c r="D129" s="675"/>
      <c r="E129" s="367"/>
      <c r="F129" s="676"/>
      <c r="G129" s="676"/>
      <c r="H129" s="675"/>
      <c r="I129" s="676"/>
      <c r="J129" s="676"/>
      <c r="K129" s="676"/>
      <c r="L129" s="390"/>
      <c r="M129" s="390"/>
      <c r="N129" s="390"/>
      <c r="O129" s="390"/>
      <c r="P129" s="390"/>
      <c r="Q129" s="680"/>
      <c r="R129" s="381">
        <f t="shared" si="12"/>
        <v>0</v>
      </c>
      <c r="S129" s="683"/>
      <c r="T129" s="684"/>
      <c r="U129" s="39"/>
      <c r="W129" s="814"/>
      <c r="X129" s="815"/>
      <c r="Y129" s="815"/>
      <c r="Z129" s="815"/>
      <c r="AA129" s="815"/>
      <c r="AB129" s="815"/>
      <c r="AC129" s="815"/>
      <c r="AD129" s="815"/>
      <c r="AE129" s="815"/>
      <c r="AF129" s="815"/>
      <c r="AG129" s="815"/>
      <c r="AH129" s="815"/>
      <c r="AI129" s="815"/>
      <c r="AJ129" s="816"/>
    </row>
    <row r="130" spans="1:36" ht="23.1" customHeight="1">
      <c r="A130" s="975"/>
      <c r="C130" s="47"/>
      <c r="D130" s="675"/>
      <c r="E130" s="367"/>
      <c r="F130" s="676"/>
      <c r="G130" s="676"/>
      <c r="H130" s="675"/>
      <c r="I130" s="676"/>
      <c r="J130" s="676"/>
      <c r="K130" s="676"/>
      <c r="L130" s="390"/>
      <c r="M130" s="390"/>
      <c r="N130" s="390"/>
      <c r="O130" s="390"/>
      <c r="P130" s="390"/>
      <c r="Q130" s="680"/>
      <c r="R130" s="381">
        <f t="shared" si="12"/>
        <v>0</v>
      </c>
      <c r="S130" s="683"/>
      <c r="T130" s="684"/>
      <c r="U130" s="39"/>
      <c r="W130" s="814"/>
      <c r="X130" s="815"/>
      <c r="Y130" s="815"/>
      <c r="Z130" s="815"/>
      <c r="AA130" s="815"/>
      <c r="AB130" s="815"/>
      <c r="AC130" s="815"/>
      <c r="AD130" s="815"/>
      <c r="AE130" s="815"/>
      <c r="AF130" s="815"/>
      <c r="AG130" s="815"/>
      <c r="AH130" s="815"/>
      <c r="AI130" s="815"/>
      <c r="AJ130" s="816"/>
    </row>
    <row r="131" spans="1:36" ht="23.1" customHeight="1">
      <c r="A131" s="975"/>
      <c r="C131" s="47"/>
      <c r="D131" s="675"/>
      <c r="E131" s="367"/>
      <c r="F131" s="676"/>
      <c r="G131" s="676"/>
      <c r="H131" s="675"/>
      <c r="I131" s="676"/>
      <c r="J131" s="676"/>
      <c r="K131" s="676"/>
      <c r="L131" s="390"/>
      <c r="M131" s="390"/>
      <c r="N131" s="390"/>
      <c r="O131" s="390"/>
      <c r="P131" s="390"/>
      <c r="Q131" s="680"/>
      <c r="R131" s="381">
        <f t="shared" si="12"/>
        <v>0</v>
      </c>
      <c r="S131" s="683"/>
      <c r="T131" s="684"/>
      <c r="U131" s="39"/>
      <c r="W131" s="814"/>
      <c r="X131" s="815"/>
      <c r="Y131" s="815"/>
      <c r="Z131" s="815"/>
      <c r="AA131" s="815"/>
      <c r="AB131" s="815"/>
      <c r="AC131" s="815"/>
      <c r="AD131" s="815"/>
      <c r="AE131" s="815"/>
      <c r="AF131" s="815"/>
      <c r="AG131" s="815"/>
      <c r="AH131" s="815"/>
      <c r="AI131" s="815"/>
      <c r="AJ131" s="816"/>
    </row>
    <row r="132" spans="1:36" ht="23.1" customHeight="1">
      <c r="A132" s="975"/>
      <c r="C132" s="47"/>
      <c r="D132" s="675"/>
      <c r="E132" s="367"/>
      <c r="F132" s="676"/>
      <c r="G132" s="676"/>
      <c r="H132" s="675"/>
      <c r="I132" s="676"/>
      <c r="J132" s="676"/>
      <c r="K132" s="676"/>
      <c r="L132" s="390"/>
      <c r="M132" s="390"/>
      <c r="N132" s="390"/>
      <c r="O132" s="390"/>
      <c r="P132" s="390"/>
      <c r="Q132" s="680"/>
      <c r="R132" s="381">
        <f t="shared" si="12"/>
        <v>0</v>
      </c>
      <c r="S132" s="683"/>
      <c r="T132" s="684"/>
      <c r="U132" s="39"/>
      <c r="W132" s="814"/>
      <c r="X132" s="815"/>
      <c r="Y132" s="815"/>
      <c r="Z132" s="815"/>
      <c r="AA132" s="815"/>
      <c r="AB132" s="815"/>
      <c r="AC132" s="815"/>
      <c r="AD132" s="815"/>
      <c r="AE132" s="815"/>
      <c r="AF132" s="815"/>
      <c r="AG132" s="815"/>
      <c r="AH132" s="815"/>
      <c r="AI132" s="815"/>
      <c r="AJ132" s="816"/>
    </row>
    <row r="133" spans="1:36" ht="23.1" customHeight="1">
      <c r="A133" s="975"/>
      <c r="C133" s="47"/>
      <c r="D133" s="675"/>
      <c r="E133" s="367"/>
      <c r="F133" s="676"/>
      <c r="G133" s="676"/>
      <c r="H133" s="675"/>
      <c r="I133" s="676"/>
      <c r="J133" s="676"/>
      <c r="K133" s="676"/>
      <c r="L133" s="390"/>
      <c r="M133" s="390"/>
      <c r="N133" s="390"/>
      <c r="O133" s="390"/>
      <c r="P133" s="390"/>
      <c r="Q133" s="680"/>
      <c r="R133" s="381">
        <f t="shared" si="12"/>
        <v>0</v>
      </c>
      <c r="S133" s="683"/>
      <c r="T133" s="684"/>
      <c r="U133" s="39"/>
      <c r="W133" s="814"/>
      <c r="X133" s="815"/>
      <c r="Y133" s="815"/>
      <c r="Z133" s="815"/>
      <c r="AA133" s="815"/>
      <c r="AB133" s="815"/>
      <c r="AC133" s="815"/>
      <c r="AD133" s="815"/>
      <c r="AE133" s="815"/>
      <c r="AF133" s="815"/>
      <c r="AG133" s="815"/>
      <c r="AH133" s="815"/>
      <c r="AI133" s="815"/>
      <c r="AJ133" s="816"/>
    </row>
    <row r="134" spans="1:36" ht="23.1" customHeight="1">
      <c r="A134" s="975"/>
      <c r="C134" s="47"/>
      <c r="D134" s="675"/>
      <c r="E134" s="367"/>
      <c r="F134" s="676"/>
      <c r="G134" s="676"/>
      <c r="H134" s="675"/>
      <c r="I134" s="676"/>
      <c r="J134" s="676"/>
      <c r="K134" s="676"/>
      <c r="L134" s="390"/>
      <c r="M134" s="390"/>
      <c r="N134" s="390"/>
      <c r="O134" s="390"/>
      <c r="P134" s="390"/>
      <c r="Q134" s="680"/>
      <c r="R134" s="381">
        <f t="shared" si="12"/>
        <v>0</v>
      </c>
      <c r="S134" s="683"/>
      <c r="T134" s="684"/>
      <c r="U134" s="39"/>
      <c r="W134" s="814"/>
      <c r="X134" s="815"/>
      <c r="Y134" s="815"/>
      <c r="Z134" s="815"/>
      <c r="AA134" s="815"/>
      <c r="AB134" s="815"/>
      <c r="AC134" s="815"/>
      <c r="AD134" s="815"/>
      <c r="AE134" s="815"/>
      <c r="AF134" s="815"/>
      <c r="AG134" s="815"/>
      <c r="AH134" s="815"/>
      <c r="AI134" s="815"/>
      <c r="AJ134" s="816"/>
    </row>
    <row r="135" spans="1:36" ht="23.1" customHeight="1">
      <c r="A135" s="975"/>
      <c r="C135" s="47"/>
      <c r="D135" s="675"/>
      <c r="E135" s="367"/>
      <c r="F135" s="676"/>
      <c r="G135" s="676"/>
      <c r="H135" s="675"/>
      <c r="I135" s="676"/>
      <c r="J135" s="676"/>
      <c r="K135" s="676"/>
      <c r="L135" s="390"/>
      <c r="M135" s="390"/>
      <c r="N135" s="390"/>
      <c r="O135" s="390"/>
      <c r="P135" s="390"/>
      <c r="Q135" s="680"/>
      <c r="R135" s="381">
        <f t="shared" si="12"/>
        <v>0</v>
      </c>
      <c r="S135" s="683"/>
      <c r="T135" s="684"/>
      <c r="U135" s="39"/>
      <c r="W135" s="814"/>
      <c r="X135" s="815"/>
      <c r="Y135" s="815"/>
      <c r="Z135" s="815"/>
      <c r="AA135" s="815"/>
      <c r="AB135" s="815"/>
      <c r="AC135" s="815"/>
      <c r="AD135" s="815"/>
      <c r="AE135" s="815"/>
      <c r="AF135" s="815"/>
      <c r="AG135" s="815"/>
      <c r="AH135" s="815"/>
      <c r="AI135" s="815"/>
      <c r="AJ135" s="816"/>
    </row>
    <row r="136" spans="1:36" ht="23.1" customHeight="1">
      <c r="A136" s="975"/>
      <c r="C136" s="47"/>
      <c r="D136" s="675"/>
      <c r="E136" s="367"/>
      <c r="F136" s="676"/>
      <c r="G136" s="676"/>
      <c r="H136" s="675"/>
      <c r="I136" s="676"/>
      <c r="J136" s="676"/>
      <c r="K136" s="676"/>
      <c r="L136" s="390"/>
      <c r="M136" s="390"/>
      <c r="N136" s="390"/>
      <c r="O136" s="390"/>
      <c r="P136" s="390"/>
      <c r="Q136" s="680"/>
      <c r="R136" s="381">
        <f t="shared" si="12"/>
        <v>0</v>
      </c>
      <c r="S136" s="683"/>
      <c r="T136" s="684"/>
      <c r="U136" s="39"/>
      <c r="W136" s="814"/>
      <c r="X136" s="815"/>
      <c r="Y136" s="815"/>
      <c r="Z136" s="815"/>
      <c r="AA136" s="815"/>
      <c r="AB136" s="815"/>
      <c r="AC136" s="815"/>
      <c r="AD136" s="815"/>
      <c r="AE136" s="815"/>
      <c r="AF136" s="815"/>
      <c r="AG136" s="815"/>
      <c r="AH136" s="815"/>
      <c r="AI136" s="815"/>
      <c r="AJ136" s="816"/>
    </row>
    <row r="137" spans="1:36" ht="23.1" customHeight="1">
      <c r="A137" s="975"/>
      <c r="C137" s="47"/>
      <c r="D137" s="675"/>
      <c r="E137" s="367"/>
      <c r="F137" s="676"/>
      <c r="G137" s="676"/>
      <c r="H137" s="675"/>
      <c r="I137" s="676"/>
      <c r="J137" s="676"/>
      <c r="K137" s="676"/>
      <c r="L137" s="390"/>
      <c r="M137" s="390"/>
      <c r="N137" s="390"/>
      <c r="O137" s="390"/>
      <c r="P137" s="390"/>
      <c r="Q137" s="680"/>
      <c r="R137" s="381">
        <f t="shared" si="12"/>
        <v>0</v>
      </c>
      <c r="S137" s="683"/>
      <c r="T137" s="684"/>
      <c r="U137" s="39"/>
      <c r="W137" s="814"/>
      <c r="X137" s="815"/>
      <c r="Y137" s="815"/>
      <c r="Z137" s="815"/>
      <c r="AA137" s="815"/>
      <c r="AB137" s="815"/>
      <c r="AC137" s="815"/>
      <c r="AD137" s="815"/>
      <c r="AE137" s="815"/>
      <c r="AF137" s="815"/>
      <c r="AG137" s="815"/>
      <c r="AH137" s="815"/>
      <c r="AI137" s="815"/>
      <c r="AJ137" s="816"/>
    </row>
    <row r="138" spans="1:36" ht="23.1" customHeight="1">
      <c r="A138" s="975"/>
      <c r="C138" s="47"/>
      <c r="D138" s="675"/>
      <c r="E138" s="367"/>
      <c r="F138" s="676"/>
      <c r="G138" s="676"/>
      <c r="H138" s="675"/>
      <c r="I138" s="676"/>
      <c r="J138" s="676"/>
      <c r="K138" s="676"/>
      <c r="L138" s="390"/>
      <c r="M138" s="390"/>
      <c r="N138" s="390"/>
      <c r="O138" s="390"/>
      <c r="P138" s="390"/>
      <c r="Q138" s="680"/>
      <c r="R138" s="381">
        <f t="shared" si="12"/>
        <v>0</v>
      </c>
      <c r="S138" s="683"/>
      <c r="T138" s="684"/>
      <c r="U138" s="39"/>
      <c r="W138" s="814"/>
      <c r="X138" s="815"/>
      <c r="Y138" s="815"/>
      <c r="Z138" s="815"/>
      <c r="AA138" s="815"/>
      <c r="AB138" s="815"/>
      <c r="AC138" s="815"/>
      <c r="AD138" s="815"/>
      <c r="AE138" s="815"/>
      <c r="AF138" s="815"/>
      <c r="AG138" s="815"/>
      <c r="AH138" s="815"/>
      <c r="AI138" s="815"/>
      <c r="AJ138" s="816"/>
    </row>
    <row r="139" spans="1:36" ht="23.1" customHeight="1">
      <c r="A139" s="975"/>
      <c r="C139" s="47"/>
      <c r="D139" s="675"/>
      <c r="E139" s="367"/>
      <c r="F139" s="676"/>
      <c r="G139" s="676"/>
      <c r="H139" s="675"/>
      <c r="I139" s="676"/>
      <c r="J139" s="676"/>
      <c r="K139" s="676"/>
      <c r="L139" s="390"/>
      <c r="M139" s="390"/>
      <c r="N139" s="390"/>
      <c r="O139" s="390"/>
      <c r="P139" s="390"/>
      <c r="Q139" s="680"/>
      <c r="R139" s="381">
        <f t="shared" si="12"/>
        <v>0</v>
      </c>
      <c r="S139" s="683"/>
      <c r="T139" s="684"/>
      <c r="U139" s="39"/>
      <c r="W139" s="814"/>
      <c r="X139" s="815"/>
      <c r="Y139" s="815"/>
      <c r="Z139" s="815"/>
      <c r="AA139" s="815"/>
      <c r="AB139" s="815"/>
      <c r="AC139" s="815"/>
      <c r="AD139" s="815"/>
      <c r="AE139" s="815"/>
      <c r="AF139" s="815"/>
      <c r="AG139" s="815"/>
      <c r="AH139" s="815"/>
      <c r="AI139" s="815"/>
      <c r="AJ139" s="816"/>
    </row>
    <row r="140" spans="1:36" ht="23.1" customHeight="1">
      <c r="A140" s="975"/>
      <c r="C140" s="47"/>
      <c r="D140" s="675"/>
      <c r="E140" s="367"/>
      <c r="F140" s="676"/>
      <c r="G140" s="676"/>
      <c r="H140" s="675"/>
      <c r="I140" s="676"/>
      <c r="J140" s="676"/>
      <c r="K140" s="676"/>
      <c r="L140" s="390"/>
      <c r="M140" s="390"/>
      <c r="N140" s="390"/>
      <c r="O140" s="390"/>
      <c r="P140" s="390"/>
      <c r="Q140" s="680"/>
      <c r="R140" s="381">
        <f t="shared" si="12"/>
        <v>0</v>
      </c>
      <c r="S140" s="683"/>
      <c r="T140" s="684"/>
      <c r="U140" s="39"/>
      <c r="W140" s="814"/>
      <c r="X140" s="815"/>
      <c r="Y140" s="815"/>
      <c r="Z140" s="815"/>
      <c r="AA140" s="815"/>
      <c r="AB140" s="815"/>
      <c r="AC140" s="815"/>
      <c r="AD140" s="815"/>
      <c r="AE140" s="815"/>
      <c r="AF140" s="815"/>
      <c r="AG140" s="815"/>
      <c r="AH140" s="815"/>
      <c r="AI140" s="815"/>
      <c r="AJ140" s="816"/>
    </row>
    <row r="141" spans="1:36" ht="23.1" customHeight="1">
      <c r="A141" s="975"/>
      <c r="C141" s="47"/>
      <c r="D141" s="675"/>
      <c r="E141" s="367"/>
      <c r="F141" s="676"/>
      <c r="G141" s="676"/>
      <c r="H141" s="675"/>
      <c r="I141" s="676"/>
      <c r="J141" s="676"/>
      <c r="K141" s="676"/>
      <c r="L141" s="390"/>
      <c r="M141" s="390"/>
      <c r="N141" s="390"/>
      <c r="O141" s="390"/>
      <c r="P141" s="390"/>
      <c r="Q141" s="680"/>
      <c r="R141" s="381">
        <f t="shared" si="12"/>
        <v>0</v>
      </c>
      <c r="S141" s="683"/>
      <c r="T141" s="684"/>
      <c r="U141" s="39"/>
      <c r="W141" s="814"/>
      <c r="X141" s="815"/>
      <c r="Y141" s="815"/>
      <c r="Z141" s="815"/>
      <c r="AA141" s="815"/>
      <c r="AB141" s="815"/>
      <c r="AC141" s="815"/>
      <c r="AD141" s="815"/>
      <c r="AE141" s="815"/>
      <c r="AF141" s="815"/>
      <c r="AG141" s="815"/>
      <c r="AH141" s="815"/>
      <c r="AI141" s="815"/>
      <c r="AJ141" s="816"/>
    </row>
    <row r="142" spans="1:36" ht="23.1" customHeight="1">
      <c r="A142" s="975"/>
      <c r="C142" s="47"/>
      <c r="D142" s="675"/>
      <c r="E142" s="685"/>
      <c r="F142" s="686"/>
      <c r="G142" s="686"/>
      <c r="H142" s="687"/>
      <c r="I142" s="686"/>
      <c r="J142" s="686"/>
      <c r="K142" s="686"/>
      <c r="L142" s="635"/>
      <c r="M142" s="635"/>
      <c r="N142" s="635"/>
      <c r="O142" s="635"/>
      <c r="P142" s="635"/>
      <c r="Q142" s="689"/>
      <c r="R142" s="382">
        <f t="shared" si="12"/>
        <v>0</v>
      </c>
      <c r="S142" s="683"/>
      <c r="T142" s="684"/>
      <c r="U142" s="39"/>
      <c r="W142" s="814"/>
      <c r="X142" s="815"/>
      <c r="Y142" s="815"/>
      <c r="Z142" s="815"/>
      <c r="AA142" s="815"/>
      <c r="AB142" s="815"/>
      <c r="AC142" s="815"/>
      <c r="AD142" s="815"/>
      <c r="AE142" s="815"/>
      <c r="AF142" s="815"/>
      <c r="AG142" s="815"/>
      <c r="AH142" s="815"/>
      <c r="AI142" s="815"/>
      <c r="AJ142" s="816"/>
    </row>
    <row r="143" spans="1:36" ht="23.1" customHeight="1">
      <c r="A143" s="975"/>
      <c r="C143" s="47"/>
      <c r="D143" s="690"/>
      <c r="E143" s="691"/>
      <c r="F143" s="692"/>
      <c r="G143" s="692"/>
      <c r="H143" s="690"/>
      <c r="I143" s="692"/>
      <c r="J143" s="692"/>
      <c r="K143" s="692"/>
      <c r="L143" s="638"/>
      <c r="M143" s="638"/>
      <c r="N143" s="638"/>
      <c r="O143" s="638"/>
      <c r="P143" s="638"/>
      <c r="Q143" s="694"/>
      <c r="R143" s="383">
        <f t="shared" si="12"/>
        <v>0</v>
      </c>
      <c r="S143" s="695"/>
      <c r="T143" s="696"/>
      <c r="U143" s="39"/>
      <c r="W143" s="814"/>
      <c r="X143" s="815"/>
      <c r="Y143" s="815"/>
      <c r="Z143" s="815"/>
      <c r="AA143" s="815"/>
      <c r="AB143" s="815"/>
      <c r="AC143" s="815"/>
      <c r="AD143" s="815"/>
      <c r="AE143" s="815"/>
      <c r="AF143" s="815"/>
      <c r="AG143" s="815"/>
      <c r="AH143" s="815"/>
      <c r="AI143" s="815"/>
      <c r="AJ143" s="816"/>
    </row>
    <row r="144" spans="1:36" ht="23.1" customHeight="1" thickBot="1">
      <c r="A144" s="975"/>
      <c r="C144" s="47"/>
      <c r="D144" s="632"/>
      <c r="E144" s="632"/>
      <c r="F144" s="99"/>
      <c r="G144" s="99"/>
      <c r="H144" s="99"/>
      <c r="I144" s="1227" t="s">
        <v>629</v>
      </c>
      <c r="J144" s="1228"/>
      <c r="K144" s="1229"/>
      <c r="L144" s="116">
        <f>SUM(L119:L143)</f>
        <v>0</v>
      </c>
      <c r="M144" s="109">
        <f t="shared" ref="M144" si="13">SUM(M119:M143)</f>
        <v>0</v>
      </c>
      <c r="N144" s="115">
        <f>SUM(N119:N143)</f>
        <v>0</v>
      </c>
      <c r="O144" s="115">
        <f t="shared" ref="O144" si="14">SUM(O119:O143)</f>
        <v>0</v>
      </c>
      <c r="P144" s="116">
        <f>SUM(P119:P143)</f>
        <v>0</v>
      </c>
      <c r="Q144" s="116">
        <f>SUM(Q119:Q143)</f>
        <v>0</v>
      </c>
      <c r="R144" s="384">
        <f>SUM(R119:R143)</f>
        <v>0</v>
      </c>
      <c r="S144" s="115">
        <f>SUM(S119:S143)</f>
        <v>0</v>
      </c>
      <c r="T144" s="70">
        <f>SUM(T119:T143)</f>
        <v>0</v>
      </c>
      <c r="U144" s="39"/>
      <c r="W144" s="814"/>
      <c r="X144" s="815"/>
      <c r="Y144" s="815"/>
      <c r="Z144" s="815"/>
      <c r="AA144" s="815"/>
      <c r="AB144" s="815"/>
      <c r="AC144" s="815"/>
      <c r="AD144" s="815"/>
      <c r="AE144" s="815"/>
      <c r="AF144" s="815"/>
      <c r="AG144" s="815"/>
      <c r="AH144" s="815"/>
      <c r="AI144" s="815"/>
      <c r="AJ144" s="816"/>
    </row>
    <row r="145" spans="1:36" ht="23.1" customHeight="1">
      <c r="A145" s="975"/>
      <c r="C145" s="47"/>
      <c r="D145" s="632"/>
      <c r="E145" s="632"/>
      <c r="F145" s="99"/>
      <c r="G145" s="99"/>
      <c r="H145" s="99"/>
      <c r="I145" s="292"/>
      <c r="J145" s="292"/>
      <c r="K145" s="292"/>
      <c r="L145" s="99"/>
      <c r="M145" s="99"/>
      <c r="N145" s="99"/>
      <c r="O145" s="99"/>
      <c r="P145" s="99"/>
      <c r="Q145" s="99"/>
      <c r="R145" s="99"/>
      <c r="S145" s="99"/>
      <c r="T145" s="99"/>
      <c r="U145" s="39"/>
      <c r="W145" s="814"/>
      <c r="X145" s="815"/>
      <c r="Y145" s="815"/>
      <c r="Z145" s="815"/>
      <c r="AA145" s="815"/>
      <c r="AB145" s="815"/>
      <c r="AC145" s="815"/>
      <c r="AD145" s="815"/>
      <c r="AE145" s="815"/>
      <c r="AF145" s="815"/>
      <c r="AG145" s="815"/>
      <c r="AH145" s="815"/>
      <c r="AI145" s="815"/>
      <c r="AJ145" s="816"/>
    </row>
    <row r="146" spans="1:36" ht="23.1" customHeight="1">
      <c r="A146" s="975"/>
      <c r="C146" s="47"/>
      <c r="D146" s="632"/>
      <c r="E146" s="632"/>
      <c r="F146" s="99"/>
      <c r="G146" s="99"/>
      <c r="H146" s="99"/>
      <c r="I146" s="292"/>
      <c r="J146" s="292"/>
      <c r="K146" s="292"/>
      <c r="L146" s="99"/>
      <c r="M146" s="99"/>
      <c r="N146" s="99"/>
      <c r="O146" s="99"/>
      <c r="P146" s="99"/>
      <c r="Q146" s="99"/>
      <c r="R146" s="99"/>
      <c r="S146" s="99"/>
      <c r="T146" s="99"/>
      <c r="U146" s="39"/>
      <c r="W146" s="814"/>
      <c r="X146" s="815"/>
      <c r="Y146" s="815"/>
      <c r="Z146" s="815"/>
      <c r="AA146" s="815"/>
      <c r="AB146" s="815"/>
      <c r="AC146" s="815"/>
      <c r="AD146" s="815"/>
      <c r="AE146" s="815"/>
      <c r="AF146" s="815"/>
      <c r="AG146" s="815"/>
      <c r="AH146" s="815"/>
      <c r="AI146" s="815"/>
      <c r="AJ146" s="816"/>
    </row>
    <row r="147" spans="1:36" s="120" customFormat="1" ht="18" customHeight="1">
      <c r="A147" s="975"/>
      <c r="C147" s="386"/>
      <c r="D147" s="286" t="s">
        <v>179</v>
      </c>
      <c r="F147" s="387"/>
      <c r="G147" s="387"/>
      <c r="H147" s="387"/>
      <c r="I147" s="387"/>
      <c r="J147" s="387"/>
      <c r="K147" s="387"/>
      <c r="L147" s="387"/>
      <c r="M147" s="387"/>
      <c r="N147" s="387"/>
      <c r="O147" s="41"/>
      <c r="P147" s="41"/>
      <c r="Q147" s="41"/>
      <c r="R147" s="41"/>
      <c r="S147" s="41"/>
      <c r="T147" s="41"/>
      <c r="U147" s="123"/>
      <c r="W147" s="792"/>
      <c r="X147" s="793"/>
      <c r="Y147" s="793"/>
      <c r="Z147" s="793"/>
      <c r="AA147" s="793"/>
      <c r="AB147" s="793"/>
      <c r="AC147" s="793"/>
      <c r="AD147" s="793"/>
      <c r="AE147" s="793"/>
      <c r="AF147" s="793"/>
      <c r="AG147" s="793"/>
      <c r="AH147" s="793"/>
      <c r="AI147" s="793"/>
      <c r="AJ147" s="794"/>
    </row>
    <row r="148" spans="1:36" s="120" customFormat="1" ht="18" customHeight="1">
      <c r="A148" s="975"/>
      <c r="C148" s="386"/>
      <c r="D148" s="120" t="s">
        <v>662</v>
      </c>
      <c r="F148" s="387"/>
      <c r="G148" s="387"/>
      <c r="H148" s="387"/>
      <c r="I148" s="387"/>
      <c r="J148" s="387"/>
      <c r="K148" s="387"/>
      <c r="L148" s="387"/>
      <c r="M148" s="387"/>
      <c r="N148" s="387"/>
      <c r="O148" s="41"/>
      <c r="P148" s="41"/>
      <c r="Q148" s="41"/>
      <c r="R148" s="41"/>
      <c r="S148" s="41"/>
      <c r="T148" s="41"/>
      <c r="U148" s="123"/>
      <c r="W148" s="792"/>
      <c r="X148" s="793"/>
      <c r="Y148" s="793"/>
      <c r="Z148" s="793"/>
      <c r="AA148" s="793"/>
      <c r="AB148" s="793"/>
      <c r="AC148" s="793"/>
      <c r="AD148" s="793"/>
      <c r="AE148" s="793"/>
      <c r="AF148" s="793"/>
      <c r="AG148" s="793"/>
      <c r="AH148" s="793"/>
      <c r="AI148" s="793"/>
      <c r="AJ148" s="794"/>
    </row>
    <row r="149" spans="1:36" s="120" customFormat="1" ht="18" customHeight="1">
      <c r="A149" s="975"/>
      <c r="C149" s="386"/>
      <c r="D149" s="120" t="s">
        <v>663</v>
      </c>
      <c r="F149" s="387"/>
      <c r="G149" s="387"/>
      <c r="H149" s="387"/>
      <c r="I149" s="387"/>
      <c r="J149" s="387"/>
      <c r="K149" s="387"/>
      <c r="L149" s="387"/>
      <c r="M149" s="387"/>
      <c r="N149" s="387"/>
      <c r="O149" s="41"/>
      <c r="P149" s="41"/>
      <c r="Q149" s="41"/>
      <c r="R149" s="41"/>
      <c r="S149" s="41"/>
      <c r="T149" s="41"/>
      <c r="U149" s="123"/>
      <c r="W149" s="792"/>
      <c r="X149" s="793"/>
      <c r="Y149" s="793"/>
      <c r="Z149" s="793"/>
      <c r="AA149" s="793"/>
      <c r="AB149" s="793"/>
      <c r="AC149" s="793"/>
      <c r="AD149" s="793"/>
      <c r="AE149" s="793"/>
      <c r="AF149" s="793"/>
      <c r="AG149" s="793"/>
      <c r="AH149" s="793"/>
      <c r="AI149" s="793"/>
      <c r="AJ149" s="794"/>
    </row>
    <row r="150" spans="1:36" s="120" customFormat="1" ht="18" customHeight="1">
      <c r="A150" s="975"/>
      <c r="C150" s="386"/>
      <c r="D150" s="120" t="s">
        <v>664</v>
      </c>
      <c r="F150" s="387"/>
      <c r="G150" s="387"/>
      <c r="H150" s="387"/>
      <c r="I150" s="387"/>
      <c r="J150" s="387"/>
      <c r="K150" s="387"/>
      <c r="L150" s="387"/>
      <c r="M150" s="387"/>
      <c r="N150" s="387"/>
      <c r="O150" s="41"/>
      <c r="P150" s="41"/>
      <c r="Q150" s="41"/>
      <c r="R150" s="41"/>
      <c r="S150" s="41"/>
      <c r="T150" s="41"/>
      <c r="U150" s="123"/>
      <c r="W150" s="792"/>
      <c r="X150" s="793"/>
      <c r="Y150" s="793"/>
      <c r="Z150" s="793"/>
      <c r="AA150" s="793"/>
      <c r="AB150" s="793"/>
      <c r="AC150" s="793"/>
      <c r="AD150" s="793"/>
      <c r="AE150" s="793"/>
      <c r="AF150" s="793"/>
      <c r="AG150" s="793"/>
      <c r="AH150" s="793"/>
      <c r="AI150" s="793"/>
      <c r="AJ150" s="794"/>
    </row>
    <row r="151" spans="1:36" s="120" customFormat="1" ht="18" customHeight="1">
      <c r="A151" s="975"/>
      <c r="C151" s="386"/>
      <c r="D151" s="388" t="s">
        <v>665</v>
      </c>
      <c r="F151" s="387"/>
      <c r="G151" s="387"/>
      <c r="H151" s="387"/>
      <c r="I151" s="387"/>
      <c r="J151" s="387"/>
      <c r="K151" s="387"/>
      <c r="L151" s="387"/>
      <c r="M151" s="387"/>
      <c r="N151" s="387"/>
      <c r="O151" s="41"/>
      <c r="P151" s="41"/>
      <c r="Q151" s="41"/>
      <c r="R151" s="41"/>
      <c r="S151" s="41"/>
      <c r="T151" s="41"/>
      <c r="U151" s="123"/>
      <c r="W151" s="792"/>
      <c r="X151" s="793"/>
      <c r="Y151" s="793"/>
      <c r="Z151" s="793"/>
      <c r="AA151" s="793"/>
      <c r="AB151" s="793"/>
      <c r="AC151" s="793"/>
      <c r="AD151" s="793"/>
      <c r="AE151" s="793"/>
      <c r="AF151" s="793"/>
      <c r="AG151" s="793"/>
      <c r="AH151" s="793"/>
      <c r="AI151" s="793"/>
      <c r="AJ151" s="794"/>
    </row>
    <row r="152" spans="1:36" s="120" customFormat="1" ht="18" customHeight="1">
      <c r="A152" s="975"/>
      <c r="C152" s="386"/>
      <c r="D152" s="388" t="s">
        <v>666</v>
      </c>
      <c r="F152" s="387"/>
      <c r="G152" s="387"/>
      <c r="H152" s="387"/>
      <c r="I152" s="387"/>
      <c r="J152" s="387"/>
      <c r="K152" s="387"/>
      <c r="L152" s="387"/>
      <c r="M152" s="387"/>
      <c r="N152" s="387"/>
      <c r="O152" s="41"/>
      <c r="P152" s="41"/>
      <c r="Q152" s="41"/>
      <c r="R152" s="41"/>
      <c r="S152" s="41"/>
      <c r="T152" s="41"/>
      <c r="U152" s="123"/>
      <c r="W152" s="792"/>
      <c r="X152" s="793"/>
      <c r="Y152" s="793"/>
      <c r="Z152" s="793"/>
      <c r="AA152" s="793"/>
      <c r="AB152" s="793"/>
      <c r="AC152" s="793"/>
      <c r="AD152" s="793"/>
      <c r="AE152" s="793"/>
      <c r="AF152" s="793"/>
      <c r="AG152" s="793"/>
      <c r="AH152" s="793"/>
      <c r="AI152" s="793"/>
      <c r="AJ152" s="794"/>
    </row>
    <row r="153" spans="1:36" s="120" customFormat="1" ht="18" customHeight="1">
      <c r="A153" s="975"/>
      <c r="C153" s="386"/>
      <c r="D153" s="120" t="s">
        <v>667</v>
      </c>
      <c r="F153" s="387"/>
      <c r="G153" s="387"/>
      <c r="H153" s="387"/>
      <c r="I153" s="387"/>
      <c r="J153" s="387"/>
      <c r="K153" s="387"/>
      <c r="L153" s="387"/>
      <c r="M153" s="387"/>
      <c r="N153" s="387"/>
      <c r="O153" s="41"/>
      <c r="P153" s="41"/>
      <c r="Q153" s="41"/>
      <c r="R153" s="41"/>
      <c r="S153" s="41"/>
      <c r="T153" s="41"/>
      <c r="U153" s="123"/>
      <c r="W153" s="792"/>
      <c r="X153" s="793"/>
      <c r="Y153" s="793"/>
      <c r="Z153" s="793"/>
      <c r="AA153" s="793"/>
      <c r="AB153" s="793"/>
      <c r="AC153" s="793"/>
      <c r="AD153" s="793"/>
      <c r="AE153" s="793"/>
      <c r="AF153" s="793"/>
      <c r="AG153" s="793"/>
      <c r="AH153" s="793"/>
      <c r="AI153" s="793"/>
      <c r="AJ153" s="794"/>
    </row>
    <row r="154" spans="1:36" s="120" customFormat="1" ht="18" customHeight="1">
      <c r="A154" s="975"/>
      <c r="C154" s="386"/>
      <c r="D154" s="388" t="s">
        <v>668</v>
      </c>
      <c r="F154" s="389"/>
      <c r="G154" s="389"/>
      <c r="H154" s="389"/>
      <c r="I154" s="389"/>
      <c r="J154" s="389"/>
      <c r="K154" s="389"/>
      <c r="L154" s="389"/>
      <c r="M154" s="389"/>
      <c r="N154" s="389"/>
      <c r="O154" s="41"/>
      <c r="P154" s="41"/>
      <c r="Q154" s="41"/>
      <c r="R154" s="41"/>
      <c r="S154" s="41"/>
      <c r="T154" s="41"/>
      <c r="U154" s="123"/>
      <c r="W154" s="792"/>
      <c r="X154" s="793"/>
      <c r="Y154" s="793"/>
      <c r="Z154" s="793"/>
      <c r="AA154" s="793"/>
      <c r="AB154" s="793"/>
      <c r="AC154" s="793"/>
      <c r="AD154" s="793"/>
      <c r="AE154" s="793"/>
      <c r="AF154" s="793"/>
      <c r="AG154" s="793"/>
      <c r="AH154" s="793"/>
      <c r="AI154" s="793"/>
      <c r="AJ154" s="794"/>
    </row>
    <row r="155" spans="1:36" s="120" customFormat="1" ht="18" customHeight="1">
      <c r="A155" s="975"/>
      <c r="C155" s="386"/>
      <c r="D155" s="388" t="s">
        <v>669</v>
      </c>
      <c r="F155" s="389"/>
      <c r="G155" s="389"/>
      <c r="H155" s="389"/>
      <c r="I155" s="389"/>
      <c r="J155" s="389"/>
      <c r="K155" s="389"/>
      <c r="L155" s="389"/>
      <c r="M155" s="389"/>
      <c r="N155" s="389"/>
      <c r="O155" s="41"/>
      <c r="P155" s="41"/>
      <c r="Q155" s="41"/>
      <c r="R155" s="41"/>
      <c r="S155" s="41"/>
      <c r="T155" s="41"/>
      <c r="U155" s="123"/>
      <c r="W155" s="792"/>
      <c r="X155" s="793"/>
      <c r="Y155" s="793"/>
      <c r="Z155" s="793"/>
      <c r="AA155" s="793"/>
      <c r="AB155" s="793"/>
      <c r="AC155" s="793"/>
      <c r="AD155" s="793"/>
      <c r="AE155" s="793"/>
      <c r="AF155" s="793"/>
      <c r="AG155" s="793"/>
      <c r="AH155" s="793"/>
      <c r="AI155" s="793"/>
      <c r="AJ155" s="794"/>
    </row>
    <row r="156" spans="1:36" s="120" customFormat="1" ht="18" customHeight="1">
      <c r="A156" s="975"/>
      <c r="C156" s="386"/>
      <c r="D156" s="388" t="s">
        <v>670</v>
      </c>
      <c r="F156" s="389"/>
      <c r="G156" s="389"/>
      <c r="H156" s="389"/>
      <c r="I156" s="389"/>
      <c r="J156" s="389"/>
      <c r="K156" s="389"/>
      <c r="L156" s="389"/>
      <c r="M156" s="389"/>
      <c r="N156" s="389"/>
      <c r="O156" s="41"/>
      <c r="P156" s="41"/>
      <c r="Q156" s="41"/>
      <c r="R156" s="41"/>
      <c r="S156" s="41"/>
      <c r="T156" s="41"/>
      <c r="U156" s="123"/>
      <c r="W156" s="792"/>
      <c r="X156" s="793"/>
      <c r="Y156" s="793"/>
      <c r="Z156" s="793"/>
      <c r="AA156" s="793"/>
      <c r="AB156" s="793"/>
      <c r="AC156" s="793"/>
      <c r="AD156" s="793"/>
      <c r="AE156" s="793"/>
      <c r="AF156" s="793"/>
      <c r="AG156" s="793"/>
      <c r="AH156" s="793"/>
      <c r="AI156" s="793"/>
      <c r="AJ156" s="794"/>
    </row>
    <row r="157" spans="1:36" s="120" customFormat="1" ht="18" customHeight="1">
      <c r="A157" s="975"/>
      <c r="C157" s="386"/>
      <c r="D157" s="388" t="s">
        <v>671</v>
      </c>
      <c r="F157" s="389"/>
      <c r="G157" s="389"/>
      <c r="H157" s="389"/>
      <c r="I157" s="389"/>
      <c r="J157" s="389"/>
      <c r="K157" s="389"/>
      <c r="L157" s="389"/>
      <c r="M157" s="389"/>
      <c r="N157" s="389"/>
      <c r="O157" s="41"/>
      <c r="P157" s="41"/>
      <c r="Q157" s="41"/>
      <c r="R157" s="41"/>
      <c r="S157" s="41"/>
      <c r="T157" s="41"/>
      <c r="U157" s="123"/>
      <c r="W157" s="792"/>
      <c r="X157" s="793"/>
      <c r="Y157" s="793"/>
      <c r="Z157" s="793"/>
      <c r="AA157" s="793"/>
      <c r="AB157" s="793"/>
      <c r="AC157" s="793"/>
      <c r="AD157" s="793"/>
      <c r="AE157" s="793"/>
      <c r="AF157" s="793"/>
      <c r="AG157" s="793"/>
      <c r="AH157" s="793"/>
      <c r="AI157" s="793"/>
      <c r="AJ157" s="794"/>
    </row>
    <row r="158" spans="1:36" ht="23.1" customHeight="1" thickBot="1">
      <c r="A158" s="975"/>
      <c r="C158" s="50"/>
      <c r="D158" s="1148"/>
      <c r="E158" s="1148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52"/>
      <c r="W158" s="801"/>
      <c r="X158" s="802"/>
      <c r="Y158" s="802"/>
      <c r="Z158" s="802"/>
      <c r="AA158" s="802"/>
      <c r="AB158" s="802"/>
      <c r="AC158" s="802"/>
      <c r="AD158" s="802"/>
      <c r="AE158" s="802"/>
      <c r="AF158" s="802"/>
      <c r="AG158" s="802"/>
      <c r="AH158" s="802"/>
      <c r="AI158" s="802"/>
      <c r="AJ158" s="803"/>
    </row>
    <row r="159" spans="1:36" ht="23.1" customHeight="1">
      <c r="A159" s="369"/>
      <c r="V159" s="32" t="s">
        <v>140</v>
      </c>
    </row>
    <row r="160" spans="1:36" ht="15">
      <c r="A160" s="369"/>
      <c r="D160" s="53" t="s">
        <v>39</v>
      </c>
      <c r="T160" s="30" t="s">
        <v>672</v>
      </c>
    </row>
    <row r="161" spans="4:4" ht="15">
      <c r="D161" s="53" t="s">
        <v>41</v>
      </c>
    </row>
    <row r="162" spans="4:4" ht="15">
      <c r="D162" s="53" t="s">
        <v>42</v>
      </c>
    </row>
    <row r="163" spans="4:4" ht="15">
      <c r="D163" s="53" t="s">
        <v>43</v>
      </c>
    </row>
    <row r="164" spans="4:4" ht="15">
      <c r="D164" s="53" t="s">
        <v>44</v>
      </c>
    </row>
  </sheetData>
  <sheetProtection algorithmName="SHA-512" hashValue="afDTxj4s4vMb6XdDCntisrrI1EO6MZJ/E/PD8UHoMzGyZGiuR3fg90Oqfas1ElO+OY8PpirrWrjqg9Inf3MmgQ==" saltValue="JieNcBfuAuPYq6BAA5yNbA==" spinCount="100000" sheet="1" insertRows="0"/>
  <mergeCells count="13">
    <mergeCell ref="T6:T7"/>
    <mergeCell ref="E9:T9"/>
    <mergeCell ref="D12:E12"/>
    <mergeCell ref="D158:E158"/>
    <mergeCell ref="S16:T16"/>
    <mergeCell ref="I43:K43"/>
    <mergeCell ref="S48:T48"/>
    <mergeCell ref="I112:K112"/>
    <mergeCell ref="S117:T117"/>
    <mergeCell ref="I144:K144"/>
    <mergeCell ref="I111:K111"/>
    <mergeCell ref="S84:T84"/>
    <mergeCell ref="I75:K75"/>
  </mergeCells>
  <phoneticPr fontId="16" type="noConversion"/>
  <dataValidations count="1">
    <dataValidation type="list" allowBlank="1" showInputMessage="1" showErrorMessage="1" sqref="D50:D74" xr:uid="{00000000-0002-0000-0C00-000000000000}">
      <formula1>$AM$50:$AM$51</formula1>
    </dataValidation>
  </dataValidations>
  <printOptions horizontalCentered="1" verticalCentered="1"/>
  <pageMargins left="0.35629921259842523" right="0.35629921259842523" top="0.60629921259842523" bottom="0.60629921259842523" header="0.5" footer="0.5"/>
  <pageSetup paperSize="9" scale="2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2:Z71"/>
  <sheetViews>
    <sheetView zoomScaleNormal="100" zoomScalePageLayoutView="125" workbookViewId="0">
      <selection activeCell="F17" sqref="F17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14.44140625" style="32" customWidth="1"/>
    <col min="6" max="6" width="26.88671875" style="33" customWidth="1"/>
    <col min="7" max="10" width="13.44140625" style="33" customWidth="1"/>
    <col min="11" max="11" width="3.33203125" style="32" customWidth="1"/>
    <col min="12" max="16384" width="10.6640625" style="32"/>
  </cols>
  <sheetData>
    <row r="2" spans="1:26" ht="23.1" customHeight="1">
      <c r="A2" s="369"/>
      <c r="E2" s="347" t="str">
        <f>_GENERAL!D2</f>
        <v>Área de Presidencia, Hacienda y Modernización</v>
      </c>
    </row>
    <row r="3" spans="1:26" ht="23.1" customHeight="1">
      <c r="A3" s="369"/>
      <c r="E3" s="347" t="str">
        <f>_GENERAL!D3</f>
        <v>Dirección Insular de Hacienda</v>
      </c>
    </row>
    <row r="4" spans="1:26" ht="23.1" customHeight="1" thickBot="1">
      <c r="A4" s="369"/>
      <c r="B4" s="32" t="s">
        <v>100</v>
      </c>
    </row>
    <row r="5" spans="1:26" ht="9" customHeight="1">
      <c r="A5" s="975"/>
      <c r="C5" s="34"/>
      <c r="D5" s="35"/>
      <c r="E5" s="35"/>
      <c r="F5" s="36"/>
      <c r="G5" s="36"/>
      <c r="H5" s="36"/>
      <c r="I5" s="36"/>
      <c r="J5" s="36"/>
      <c r="K5" s="37"/>
      <c r="M5" s="757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9"/>
    </row>
    <row r="6" spans="1:26" ht="30" customHeight="1">
      <c r="A6" s="975"/>
      <c r="C6" s="38"/>
      <c r="D6" s="29" t="s">
        <v>2</v>
      </c>
      <c r="J6" s="1140">
        <f>ejercicio</f>
        <v>2022</v>
      </c>
      <c r="K6" s="39"/>
      <c r="M6" s="174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7"/>
    </row>
    <row r="7" spans="1:26" ht="30" customHeight="1">
      <c r="A7" s="975"/>
      <c r="C7" s="38"/>
      <c r="D7" s="29" t="s">
        <v>3</v>
      </c>
      <c r="J7" s="1140"/>
      <c r="K7" s="39"/>
      <c r="M7" s="178"/>
      <c r="N7" s="175" t="s">
        <v>101</v>
      </c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80"/>
    </row>
    <row r="8" spans="1:26" ht="30" customHeight="1">
      <c r="A8" s="975"/>
      <c r="C8" s="38"/>
      <c r="D8" s="40"/>
      <c r="J8" s="41"/>
      <c r="K8" s="39"/>
      <c r="M8" s="780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2"/>
    </row>
    <row r="9" spans="1:26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936"/>
      <c r="L9" s="970"/>
      <c r="M9" s="780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2"/>
    </row>
    <row r="10" spans="1:26" ht="6.95" customHeight="1">
      <c r="A10" s="975"/>
      <c r="C10" s="38"/>
      <c r="K10" s="39"/>
      <c r="M10" s="780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2"/>
    </row>
    <row r="11" spans="1:26" s="46" customFormat="1" ht="30" customHeight="1">
      <c r="A11" s="901"/>
      <c r="C11" s="42"/>
      <c r="D11" s="43" t="s">
        <v>673</v>
      </c>
      <c r="E11" s="43"/>
      <c r="F11" s="44"/>
      <c r="G11" s="44"/>
      <c r="H11" s="44"/>
      <c r="I11" s="44"/>
      <c r="J11" s="44"/>
      <c r="K11" s="45"/>
      <c r="M11" s="780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2"/>
    </row>
    <row r="12" spans="1:26" s="46" customFormat="1" ht="30" customHeight="1">
      <c r="A12" s="901"/>
      <c r="C12" s="42"/>
      <c r="D12" s="1160"/>
      <c r="E12" s="1160"/>
      <c r="F12" s="31"/>
      <c r="G12" s="31"/>
      <c r="H12" s="31"/>
      <c r="I12" s="31"/>
      <c r="J12" s="31"/>
      <c r="K12" s="45"/>
      <c r="M12" s="780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2"/>
    </row>
    <row r="13" spans="1:26" s="46" customFormat="1" ht="15.95" customHeight="1">
      <c r="A13" s="901"/>
      <c r="C13" s="42"/>
      <c r="D13" s="101"/>
      <c r="E13" s="104"/>
      <c r="F13" s="105"/>
      <c r="G13" s="102" t="s">
        <v>674</v>
      </c>
      <c r="H13" s="1230" t="s">
        <v>675</v>
      </c>
      <c r="I13" s="1231"/>
      <c r="J13" s="1232"/>
      <c r="K13" s="45"/>
      <c r="M13" s="780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2"/>
    </row>
    <row r="14" spans="1:26" s="46" customFormat="1" ht="15.95" customHeight="1">
      <c r="A14" s="902"/>
      <c r="C14" s="42"/>
      <c r="D14" s="103"/>
      <c r="E14" s="106"/>
      <c r="F14" s="107"/>
      <c r="G14" s="94" t="s">
        <v>676</v>
      </c>
      <c r="H14" s="102" t="s">
        <v>677</v>
      </c>
      <c r="I14" s="102" t="s">
        <v>678</v>
      </c>
      <c r="J14" s="102" t="s">
        <v>679</v>
      </c>
      <c r="K14" s="45"/>
      <c r="M14" s="780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2"/>
    </row>
    <row r="15" spans="1:26" s="80" customFormat="1" ht="15.95" customHeight="1">
      <c r="A15" s="903"/>
      <c r="B15" s="970"/>
      <c r="C15" s="935"/>
      <c r="D15" s="1233" t="s">
        <v>680</v>
      </c>
      <c r="E15" s="1234"/>
      <c r="F15" s="1235"/>
      <c r="G15" s="89">
        <f>ejercicio</f>
        <v>2022</v>
      </c>
      <c r="H15" s="89">
        <f>ejercicio+1</f>
        <v>2023</v>
      </c>
      <c r="I15" s="89">
        <f>ejercicio+1</f>
        <v>2023</v>
      </c>
      <c r="J15" s="89">
        <f>ejercicio+1</f>
        <v>2023</v>
      </c>
      <c r="K15" s="936"/>
      <c r="L15" s="970"/>
      <c r="M15" s="780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2"/>
    </row>
    <row r="16" spans="1:26" s="80" customFormat="1" ht="8.1" customHeight="1">
      <c r="A16" s="1070"/>
      <c r="B16" s="970"/>
      <c r="C16" s="935"/>
      <c r="D16" s="29"/>
      <c r="E16" s="29"/>
      <c r="F16" s="79"/>
      <c r="G16" s="79"/>
      <c r="H16" s="79"/>
      <c r="I16" s="79"/>
      <c r="J16" s="79"/>
      <c r="K16" s="936"/>
      <c r="L16" s="970"/>
      <c r="M16" s="780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2"/>
    </row>
    <row r="17" spans="1:26" s="17" customFormat="1" ht="23.1" customHeight="1" thickBot="1">
      <c r="A17" s="903"/>
      <c r="B17" s="970"/>
      <c r="C17" s="935"/>
      <c r="D17" s="62" t="s">
        <v>681</v>
      </c>
      <c r="E17" s="63"/>
      <c r="F17" s="110"/>
      <c r="G17" s="202"/>
      <c r="H17" s="203"/>
      <c r="I17" s="204"/>
      <c r="J17" s="215"/>
      <c r="K17" s="48"/>
      <c r="M17" s="780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1"/>
      <c r="Z17" s="782"/>
    </row>
    <row r="18" spans="1:26" s="17" customFormat="1" ht="9" customHeight="1">
      <c r="A18" s="904"/>
      <c r="B18" s="970"/>
      <c r="C18" s="935"/>
      <c r="G18" s="111"/>
      <c r="H18" s="112"/>
      <c r="I18" s="113"/>
      <c r="J18" s="114"/>
      <c r="K18" s="48"/>
      <c r="M18" s="780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2"/>
    </row>
    <row r="19" spans="1:26" s="17" customFormat="1" ht="23.1" customHeight="1" thickBot="1">
      <c r="A19" s="903"/>
      <c r="B19" s="970"/>
      <c r="C19" s="935"/>
      <c r="D19" s="62" t="s">
        <v>682</v>
      </c>
      <c r="E19" s="63"/>
      <c r="F19" s="110"/>
      <c r="G19" s="70">
        <f>SUM(G20:G27)</f>
        <v>0</v>
      </c>
      <c r="H19" s="108">
        <f t="shared" ref="H19:J19" si="0">SUM(H20:H27)</f>
        <v>0</v>
      </c>
      <c r="I19" s="109">
        <f t="shared" si="0"/>
        <v>0</v>
      </c>
      <c r="J19" s="115">
        <f t="shared" si="0"/>
        <v>0</v>
      </c>
      <c r="K19" s="48"/>
      <c r="M19" s="780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2"/>
    </row>
    <row r="20" spans="1:26" s="17" customFormat="1" ht="23.1" customHeight="1">
      <c r="A20" s="903"/>
      <c r="C20" s="47"/>
      <c r="D20" s="640" t="s">
        <v>683</v>
      </c>
      <c r="E20" s="706"/>
      <c r="F20" s="78"/>
      <c r="G20" s="654"/>
      <c r="H20" s="707"/>
      <c r="I20" s="708"/>
      <c r="J20" s="709"/>
      <c r="K20" s="48"/>
      <c r="M20" s="780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2"/>
    </row>
    <row r="21" spans="1:26" s="17" customFormat="1" ht="23.1" customHeight="1">
      <c r="A21" s="903"/>
      <c r="C21" s="47"/>
      <c r="D21" s="640" t="s">
        <v>684</v>
      </c>
      <c r="E21" s="706"/>
      <c r="F21" s="78"/>
      <c r="G21" s="654"/>
      <c r="H21" s="707"/>
      <c r="I21" s="708"/>
      <c r="J21" s="709"/>
      <c r="K21" s="48"/>
      <c r="M21" s="780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2"/>
    </row>
    <row r="22" spans="1:26" s="17" customFormat="1" ht="23.1" customHeight="1">
      <c r="A22" s="903"/>
      <c r="C22" s="47"/>
      <c r="D22" s="640" t="s">
        <v>685</v>
      </c>
      <c r="E22" s="706"/>
      <c r="F22" s="78"/>
      <c r="G22" s="654"/>
      <c r="H22" s="707"/>
      <c r="I22" s="708"/>
      <c r="J22" s="709"/>
      <c r="K22" s="48"/>
      <c r="M22" s="780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2"/>
    </row>
    <row r="23" spans="1:26" ht="23.1" customHeight="1">
      <c r="A23" s="903"/>
      <c r="C23" s="47"/>
      <c r="D23" s="665" t="s">
        <v>686</v>
      </c>
      <c r="E23" s="710"/>
      <c r="F23" s="73"/>
      <c r="G23" s="711"/>
      <c r="H23" s="712"/>
      <c r="I23" s="713"/>
      <c r="J23" s="714"/>
      <c r="K23" s="39"/>
      <c r="M23" s="780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1"/>
      <c r="Z23" s="782"/>
    </row>
    <row r="24" spans="1:26" ht="23.1" customHeight="1">
      <c r="A24" s="903"/>
      <c r="C24" s="47"/>
      <c r="D24" s="705" t="s">
        <v>687</v>
      </c>
      <c r="E24" s="715"/>
      <c r="F24" s="704"/>
      <c r="G24" s="716"/>
      <c r="H24" s="717"/>
      <c r="I24" s="718"/>
      <c r="J24" s="719"/>
      <c r="K24" s="39"/>
      <c r="M24" s="780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2"/>
    </row>
    <row r="25" spans="1:26" ht="23.1" customHeight="1">
      <c r="A25" s="903"/>
      <c r="C25" s="47"/>
      <c r="D25" s="705" t="s">
        <v>688</v>
      </c>
      <c r="E25" s="715"/>
      <c r="F25" s="704"/>
      <c r="G25" s="716"/>
      <c r="H25" s="717"/>
      <c r="I25" s="718"/>
      <c r="J25" s="719"/>
      <c r="K25" s="39"/>
      <c r="M25" s="780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1"/>
      <c r="Z25" s="782"/>
    </row>
    <row r="26" spans="1:26" ht="23.1" customHeight="1">
      <c r="A26" s="903"/>
      <c r="C26" s="47"/>
      <c r="D26" s="705" t="s">
        <v>689</v>
      </c>
      <c r="E26" s="715"/>
      <c r="F26" s="704"/>
      <c r="G26" s="716"/>
      <c r="H26" s="717"/>
      <c r="I26" s="718"/>
      <c r="J26" s="719"/>
      <c r="K26" s="39"/>
      <c r="M26" s="780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1"/>
      <c r="Z26" s="782"/>
    </row>
    <row r="27" spans="1:26" ht="23.1" customHeight="1">
      <c r="A27" s="975"/>
      <c r="C27" s="47"/>
      <c r="D27" s="641" t="s">
        <v>690</v>
      </c>
      <c r="E27" s="720"/>
      <c r="F27" s="74"/>
      <c r="G27" s="721"/>
      <c r="H27" s="722"/>
      <c r="I27" s="723"/>
      <c r="J27" s="724"/>
      <c r="K27" s="39"/>
      <c r="M27" s="780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1"/>
      <c r="Z27" s="782"/>
    </row>
    <row r="28" spans="1:26" ht="8.1" customHeight="1">
      <c r="A28" s="975"/>
      <c r="C28" s="38"/>
      <c r="D28" s="1236"/>
      <c r="E28" s="1236"/>
      <c r="F28" s="1236"/>
      <c r="G28" s="1236"/>
      <c r="H28" s="1236"/>
      <c r="I28" s="1236"/>
      <c r="J28" s="1236"/>
      <c r="K28" s="39"/>
      <c r="M28" s="780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1"/>
      <c r="Z28" s="782"/>
    </row>
    <row r="29" spans="1:26" ht="16.5" thickBot="1">
      <c r="A29" s="903"/>
      <c r="C29" s="38"/>
      <c r="D29" s="248" t="s">
        <v>691</v>
      </c>
      <c r="E29" s="249"/>
      <c r="F29" s="110"/>
      <c r="G29" s="70">
        <f>G17+G19</f>
        <v>0</v>
      </c>
      <c r="H29" s="108">
        <f t="shared" ref="H29:J29" si="1">H17+H19</f>
        <v>0</v>
      </c>
      <c r="I29" s="109">
        <f t="shared" si="1"/>
        <v>0</v>
      </c>
      <c r="J29" s="115">
        <f t="shared" si="1"/>
        <v>0</v>
      </c>
      <c r="K29" s="39"/>
      <c r="M29" s="780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2"/>
    </row>
    <row r="30" spans="1:26" ht="24.95" customHeight="1">
      <c r="A30" s="903"/>
      <c r="C30" s="38"/>
      <c r="D30" s="608"/>
      <c r="E30" s="608"/>
      <c r="F30" s="608"/>
      <c r="G30" s="608"/>
      <c r="H30" s="608"/>
      <c r="I30" s="608"/>
      <c r="J30" s="608"/>
      <c r="K30" s="39"/>
      <c r="M30" s="780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781"/>
      <c r="Z30" s="782"/>
    </row>
    <row r="31" spans="1:26" s="17" customFormat="1" ht="23.1" customHeight="1" thickBot="1">
      <c r="A31" s="903"/>
      <c r="B31" s="970"/>
      <c r="C31" s="935"/>
      <c r="D31" s="62" t="s">
        <v>692</v>
      </c>
      <c r="E31" s="63"/>
      <c r="F31" s="110"/>
      <c r="G31" s="70">
        <f>+SUM(G32:G33)</f>
        <v>0</v>
      </c>
      <c r="H31" s="108">
        <f>SUM(H32:H33)</f>
        <v>0</v>
      </c>
      <c r="I31" s="109">
        <f>SUM(I32:I33)</f>
        <v>0</v>
      </c>
      <c r="J31" s="115">
        <f>SUM(J32:J33)</f>
        <v>0</v>
      </c>
      <c r="K31" s="48"/>
      <c r="M31" s="780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2"/>
    </row>
    <row r="32" spans="1:26" s="17" customFormat="1" ht="23.1" customHeight="1">
      <c r="A32" s="903"/>
      <c r="C32" s="47"/>
      <c r="D32" s="640" t="s">
        <v>693</v>
      </c>
      <c r="E32" s="706"/>
      <c r="F32" s="78"/>
      <c r="G32" s="654"/>
      <c r="H32" s="707"/>
      <c r="I32" s="708"/>
      <c r="J32" s="709"/>
      <c r="K32" s="48"/>
      <c r="M32" s="780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781"/>
      <c r="Z32" s="782"/>
    </row>
    <row r="33" spans="1:26" ht="23.1" customHeight="1">
      <c r="A33" s="903"/>
      <c r="C33" s="47"/>
      <c r="D33" s="641" t="s">
        <v>694</v>
      </c>
      <c r="E33" s="720"/>
      <c r="F33" s="74"/>
      <c r="G33" s="721"/>
      <c r="H33" s="1098"/>
      <c r="I33" s="1099"/>
      <c r="J33" s="724"/>
      <c r="K33" s="39"/>
      <c r="M33" s="780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2"/>
    </row>
    <row r="34" spans="1:26" ht="8.1" customHeight="1">
      <c r="A34" s="975"/>
      <c r="C34" s="38"/>
      <c r="D34" s="1236"/>
      <c r="E34" s="1236"/>
      <c r="F34" s="1236"/>
      <c r="G34" s="1236"/>
      <c r="H34" s="1236"/>
      <c r="I34" s="1236"/>
      <c r="J34" s="1236"/>
      <c r="K34" s="39"/>
      <c r="M34" s="780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2"/>
    </row>
    <row r="35" spans="1:26" ht="23.1" customHeight="1" thickBot="1">
      <c r="A35" s="903"/>
      <c r="C35" s="47"/>
      <c r="D35" s="62" t="s">
        <v>695</v>
      </c>
      <c r="E35" s="63"/>
      <c r="F35" s="110"/>
      <c r="G35" s="70">
        <f>SUM(G36:G37)</f>
        <v>0</v>
      </c>
      <c r="H35" s="108">
        <f>SUM(H36:H37)</f>
        <v>0</v>
      </c>
      <c r="I35" s="109">
        <f>SUM(I36:I37)</f>
        <v>0</v>
      </c>
      <c r="J35" s="115">
        <f>SUM(J36:J37)</f>
        <v>0</v>
      </c>
      <c r="K35" s="39"/>
      <c r="M35" s="780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2"/>
    </row>
    <row r="36" spans="1:26" ht="23.1" customHeight="1">
      <c r="A36" s="903"/>
      <c r="C36" s="47"/>
      <c r="D36" s="640" t="s">
        <v>693</v>
      </c>
      <c r="E36" s="706"/>
      <c r="F36" s="78"/>
      <c r="G36" s="654"/>
      <c r="H36" s="1100"/>
      <c r="I36" s="1101"/>
      <c r="J36" s="709"/>
      <c r="K36" s="39"/>
      <c r="M36" s="780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782"/>
    </row>
    <row r="37" spans="1:26" ht="23.1" customHeight="1">
      <c r="A37" s="903"/>
      <c r="C37" s="47"/>
      <c r="D37" s="641" t="s">
        <v>694</v>
      </c>
      <c r="E37" s="720"/>
      <c r="F37" s="74"/>
      <c r="G37" s="721"/>
      <c r="H37" s="1098"/>
      <c r="I37" s="1099"/>
      <c r="J37" s="724"/>
      <c r="K37" s="39"/>
      <c r="M37" s="780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782"/>
    </row>
    <row r="38" spans="1:26" ht="23.1" customHeight="1">
      <c r="A38" s="903"/>
      <c r="C38" s="47"/>
      <c r="D38" s="632"/>
      <c r="E38" s="632"/>
      <c r="F38" s="99"/>
      <c r="G38" s="1024"/>
      <c r="H38" s="1102"/>
      <c r="I38" s="1102"/>
      <c r="J38" s="1102"/>
      <c r="K38" s="39"/>
      <c r="M38" s="780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2"/>
    </row>
    <row r="39" spans="1:26" ht="23.1" customHeight="1">
      <c r="A39" s="975"/>
      <c r="C39" s="47"/>
      <c r="D39" s="632"/>
      <c r="E39" s="632"/>
      <c r="F39" s="99"/>
      <c r="G39" s="1024"/>
      <c r="H39" s="1102"/>
      <c r="I39" s="1102"/>
      <c r="J39" s="1102"/>
      <c r="K39" s="39"/>
      <c r="M39" s="780"/>
      <c r="N39" s="781"/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781"/>
      <c r="Z39" s="782"/>
    </row>
    <row r="40" spans="1:26" ht="23.1" customHeight="1" thickBot="1">
      <c r="A40" s="903"/>
      <c r="C40" s="47"/>
      <c r="D40" s="62" t="s">
        <v>696</v>
      </c>
      <c r="E40" s="63"/>
      <c r="F40" s="110"/>
      <c r="G40" s="70"/>
      <c r="H40" s="108"/>
      <c r="I40" s="109"/>
      <c r="J40" s="115"/>
      <c r="K40" s="39"/>
      <c r="M40" s="780"/>
      <c r="N40" s="781"/>
      <c r="O40" s="781"/>
      <c r="P40" s="781"/>
      <c r="Q40" s="781"/>
      <c r="R40" s="781"/>
      <c r="S40" s="781"/>
      <c r="T40" s="781"/>
      <c r="U40" s="781"/>
      <c r="V40" s="781"/>
      <c r="W40" s="781"/>
      <c r="X40" s="781"/>
      <c r="Y40" s="781"/>
      <c r="Z40" s="782"/>
    </row>
    <row r="41" spans="1:26" ht="11.1" customHeight="1">
      <c r="A41" s="903"/>
      <c r="C41" s="47"/>
      <c r="D41" s="632"/>
      <c r="E41" s="632"/>
      <c r="F41" s="99"/>
      <c r="G41" s="458"/>
      <c r="H41" s="99"/>
      <c r="I41" s="99"/>
      <c r="J41" s="392"/>
      <c r="K41" s="39"/>
      <c r="M41" s="780"/>
      <c r="N41" s="781"/>
      <c r="O41" s="781"/>
      <c r="P41" s="781"/>
      <c r="Q41" s="781"/>
      <c r="R41" s="781"/>
      <c r="S41" s="781"/>
      <c r="T41" s="781"/>
      <c r="U41" s="781"/>
      <c r="V41" s="781"/>
      <c r="W41" s="781"/>
      <c r="X41" s="781"/>
      <c r="Y41" s="781"/>
      <c r="Z41" s="782"/>
    </row>
    <row r="42" spans="1:26" ht="23.1" customHeight="1" thickBot="1">
      <c r="A42" s="903"/>
      <c r="C42" s="47"/>
      <c r="D42" s="248" t="s">
        <v>691</v>
      </c>
      <c r="E42" s="249"/>
      <c r="F42" s="110"/>
      <c r="G42" s="70">
        <f>G29</f>
        <v>0</v>
      </c>
      <c r="H42" s="108">
        <f t="shared" ref="H42:J42" si="2">H29</f>
        <v>0</v>
      </c>
      <c r="I42" s="109">
        <f t="shared" si="2"/>
        <v>0</v>
      </c>
      <c r="J42" s="115">
        <f t="shared" si="2"/>
        <v>0</v>
      </c>
      <c r="K42" s="39"/>
      <c r="M42" s="780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1"/>
      <c r="Z42" s="782"/>
    </row>
    <row r="43" spans="1:26" ht="9.9499999999999993" customHeight="1">
      <c r="A43" s="903"/>
      <c r="C43" s="47"/>
      <c r="D43" s="632"/>
      <c r="E43" s="632"/>
      <c r="F43" s="99"/>
      <c r="G43" s="458"/>
      <c r="H43" s="99"/>
      <c r="I43" s="99"/>
      <c r="J43" s="392"/>
      <c r="K43" s="39"/>
      <c r="M43" s="780"/>
      <c r="N43" s="781"/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781"/>
      <c r="Z43" s="782"/>
    </row>
    <row r="44" spans="1:26" ht="23.1" customHeight="1" thickBot="1">
      <c r="A44" s="903"/>
      <c r="C44" s="47"/>
      <c r="D44" s="62" t="s">
        <v>697</v>
      </c>
      <c r="E44" s="63"/>
      <c r="F44" s="110"/>
      <c r="G44" s="70">
        <f>SUM(G45:G50)</f>
        <v>0</v>
      </c>
      <c r="H44" s="108">
        <f>SUM(H45:H50)</f>
        <v>0</v>
      </c>
      <c r="I44" s="109">
        <f>SUM(I45:I50)</f>
        <v>0</v>
      </c>
      <c r="J44" s="115">
        <f>SUM(J45:J50)</f>
        <v>0</v>
      </c>
      <c r="K44" s="39"/>
      <c r="M44" s="780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781"/>
      <c r="Z44" s="782"/>
    </row>
    <row r="45" spans="1:26" ht="23.1" customHeight="1">
      <c r="A45" s="903"/>
      <c r="C45" s="47"/>
      <c r="D45" s="640" t="s">
        <v>698</v>
      </c>
      <c r="E45" s="706"/>
      <c r="F45" s="78"/>
      <c r="G45" s="654"/>
      <c r="H45" s="707"/>
      <c r="I45" s="708"/>
      <c r="J45" s="709"/>
      <c r="K45" s="39"/>
      <c r="M45" s="780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2"/>
    </row>
    <row r="46" spans="1:26" ht="23.1" customHeight="1">
      <c r="A46" s="903"/>
      <c r="C46" s="47"/>
      <c r="D46" s="640" t="s">
        <v>699</v>
      </c>
      <c r="E46" s="706"/>
      <c r="F46" s="78"/>
      <c r="G46" s="654"/>
      <c r="H46" s="707"/>
      <c r="I46" s="708"/>
      <c r="J46" s="709"/>
      <c r="K46" s="39"/>
      <c r="M46" s="780"/>
      <c r="N46" s="781"/>
      <c r="O46" s="781"/>
      <c r="P46" s="781"/>
      <c r="Q46" s="781"/>
      <c r="R46" s="781"/>
      <c r="S46" s="781"/>
      <c r="T46" s="781"/>
      <c r="U46" s="781"/>
      <c r="V46" s="781"/>
      <c r="W46" s="781"/>
      <c r="X46" s="781"/>
      <c r="Y46" s="781"/>
      <c r="Z46" s="782"/>
    </row>
    <row r="47" spans="1:26" ht="23.1" customHeight="1">
      <c r="A47" s="903"/>
      <c r="C47" s="47"/>
      <c r="D47" s="640" t="s">
        <v>700</v>
      </c>
      <c r="E47" s="706"/>
      <c r="F47" s="78"/>
      <c r="G47" s="654"/>
      <c r="H47" s="707"/>
      <c r="I47" s="708"/>
      <c r="J47" s="709"/>
      <c r="K47" s="39"/>
      <c r="M47" s="780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2"/>
    </row>
    <row r="48" spans="1:26" ht="23.1" customHeight="1">
      <c r="A48" s="903"/>
      <c r="C48" s="47"/>
      <c r="D48" s="665" t="s">
        <v>701</v>
      </c>
      <c r="E48" s="710"/>
      <c r="F48" s="73"/>
      <c r="G48" s="711"/>
      <c r="H48" s="712"/>
      <c r="I48" s="713"/>
      <c r="J48" s="714"/>
      <c r="K48" s="39"/>
      <c r="M48" s="780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  <c r="Z48" s="782"/>
    </row>
    <row r="49" spans="1:26" ht="23.1" customHeight="1">
      <c r="A49" s="903"/>
      <c r="C49" s="47"/>
      <c r="D49" s="705" t="s">
        <v>702</v>
      </c>
      <c r="E49" s="715"/>
      <c r="F49" s="704"/>
      <c r="G49" s="716"/>
      <c r="H49" s="717"/>
      <c r="I49" s="718"/>
      <c r="J49" s="719"/>
      <c r="K49" s="39"/>
      <c r="M49" s="780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2"/>
    </row>
    <row r="50" spans="1:26" ht="23.1" customHeight="1">
      <c r="A50" s="903"/>
      <c r="C50" s="47"/>
      <c r="D50" s="641" t="s">
        <v>703</v>
      </c>
      <c r="E50" s="720"/>
      <c r="F50" s="74"/>
      <c r="G50" s="721"/>
      <c r="H50" s="722"/>
      <c r="I50" s="723"/>
      <c r="J50" s="724"/>
      <c r="K50" s="39"/>
      <c r="M50" s="780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  <c r="Y50" s="781"/>
      <c r="Z50" s="782"/>
    </row>
    <row r="51" spans="1:26" ht="9" customHeight="1">
      <c r="A51" s="903"/>
      <c r="C51" s="47"/>
      <c r="D51" s="632"/>
      <c r="E51" s="632"/>
      <c r="F51" s="99"/>
      <c r="G51" s="458"/>
      <c r="H51" s="99"/>
      <c r="I51" s="99"/>
      <c r="J51" s="392"/>
      <c r="K51" s="39"/>
      <c r="M51" s="780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781"/>
      <c r="Z51" s="782"/>
    </row>
    <row r="52" spans="1:26" ht="23.1" customHeight="1" thickBot="1">
      <c r="A52" s="903"/>
      <c r="C52" s="47"/>
      <c r="D52" s="62" t="s">
        <v>704</v>
      </c>
      <c r="E52" s="63"/>
      <c r="F52" s="110"/>
      <c r="G52" s="202"/>
      <c r="H52" s="203"/>
      <c r="I52" s="204"/>
      <c r="J52" s="215"/>
      <c r="K52" s="39"/>
      <c r="M52" s="780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2"/>
    </row>
    <row r="53" spans="1:26" ht="11.1" customHeight="1">
      <c r="A53" s="903"/>
      <c r="C53" s="47"/>
      <c r="D53" s="233"/>
      <c r="E53" s="233"/>
      <c r="F53" s="99"/>
      <c r="G53" s="725"/>
      <c r="H53" s="725"/>
      <c r="I53" s="725"/>
      <c r="J53" s="725"/>
      <c r="K53" s="39"/>
      <c r="M53" s="780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  <c r="Y53" s="781"/>
      <c r="Z53" s="782"/>
    </row>
    <row r="54" spans="1:26" ht="23.1" customHeight="1" thickBot="1">
      <c r="A54" s="903"/>
      <c r="C54" s="47"/>
      <c r="D54" s="248" t="s">
        <v>705</v>
      </c>
      <c r="E54" s="249"/>
      <c r="F54" s="110"/>
      <c r="G54" s="70">
        <f>G42+G44+G52</f>
        <v>0</v>
      </c>
      <c r="H54" s="108">
        <f t="shared" ref="H54:J54" si="3">H42+H44+H52</f>
        <v>0</v>
      </c>
      <c r="I54" s="109">
        <f t="shared" si="3"/>
        <v>0</v>
      </c>
      <c r="J54" s="115">
        <f t="shared" si="3"/>
        <v>0</v>
      </c>
      <c r="K54" s="39"/>
      <c r="M54" s="780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781"/>
      <c r="Y54" s="781"/>
      <c r="Z54" s="782"/>
    </row>
    <row r="55" spans="1:26" ht="23.1" customHeight="1">
      <c r="A55" s="903"/>
      <c r="C55" s="47"/>
      <c r="D55" s="632"/>
      <c r="E55" s="632"/>
      <c r="F55" s="99"/>
      <c r="G55" s="1024"/>
      <c r="H55" s="1102"/>
      <c r="I55" s="1102"/>
      <c r="J55" s="1102"/>
      <c r="K55" s="39"/>
      <c r="M55" s="780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781"/>
      <c r="Y55" s="781"/>
      <c r="Z55" s="782"/>
    </row>
    <row r="56" spans="1:26" ht="23.1" customHeight="1">
      <c r="A56" s="903"/>
      <c r="C56" s="47"/>
      <c r="D56" s="68" t="s">
        <v>179</v>
      </c>
      <c r="E56" s="66"/>
      <c r="F56" s="67"/>
      <c r="G56" s="67"/>
      <c r="H56" s="67"/>
      <c r="I56" s="67"/>
      <c r="J56" s="31"/>
      <c r="K56" s="39"/>
      <c r="M56" s="780"/>
      <c r="N56" s="781"/>
      <c r="O56" s="781"/>
      <c r="P56" s="781"/>
      <c r="Q56" s="781"/>
      <c r="R56" s="781"/>
      <c r="S56" s="781"/>
      <c r="T56" s="781"/>
      <c r="U56" s="781"/>
      <c r="V56" s="781"/>
      <c r="W56" s="781"/>
      <c r="X56" s="781"/>
      <c r="Y56" s="781"/>
      <c r="Z56" s="782"/>
    </row>
    <row r="57" spans="1:26" ht="36" customHeight="1">
      <c r="A57" s="903"/>
      <c r="C57" s="47"/>
      <c r="D57" s="1237" t="s">
        <v>706</v>
      </c>
      <c r="E57" s="1237"/>
      <c r="F57" s="1237"/>
      <c r="G57" s="1237"/>
      <c r="H57" s="1237"/>
      <c r="I57" s="1237"/>
      <c r="J57" s="1237"/>
      <c r="K57" s="39"/>
      <c r="M57" s="780"/>
      <c r="N57" s="781"/>
      <c r="O57" s="781"/>
      <c r="P57" s="781"/>
      <c r="Q57" s="781"/>
      <c r="R57" s="781"/>
      <c r="S57" s="781"/>
      <c r="T57" s="781"/>
      <c r="U57" s="781"/>
      <c r="V57" s="781"/>
      <c r="W57" s="781"/>
      <c r="X57" s="781"/>
      <c r="Y57" s="781"/>
      <c r="Z57" s="782"/>
    </row>
    <row r="58" spans="1:26" ht="18">
      <c r="A58" s="903"/>
      <c r="C58" s="47"/>
      <c r="D58" s="726" t="s">
        <v>707</v>
      </c>
      <c r="E58" s="66"/>
      <c r="F58" s="67"/>
      <c r="G58" s="67"/>
      <c r="H58" s="67"/>
      <c r="I58" s="67"/>
      <c r="J58" s="31"/>
      <c r="K58" s="39"/>
      <c r="M58" s="780"/>
      <c r="N58" s="781"/>
      <c r="O58" s="781"/>
      <c r="P58" s="781"/>
      <c r="Q58" s="781"/>
      <c r="R58" s="781"/>
      <c r="S58" s="781"/>
      <c r="T58" s="781"/>
      <c r="U58" s="781"/>
      <c r="V58" s="781"/>
      <c r="W58" s="781"/>
      <c r="X58" s="781"/>
      <c r="Y58" s="781"/>
      <c r="Z58" s="782"/>
    </row>
    <row r="59" spans="1:26" ht="18">
      <c r="A59" s="903"/>
      <c r="C59" s="47"/>
      <c r="D59" s="726" t="s">
        <v>708</v>
      </c>
      <c r="E59" s="66"/>
      <c r="F59" s="67"/>
      <c r="G59" s="67"/>
      <c r="H59" s="67"/>
      <c r="I59" s="67"/>
      <c r="J59" s="31"/>
      <c r="K59" s="39"/>
      <c r="M59" s="780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781"/>
      <c r="Y59" s="781"/>
      <c r="Z59" s="782"/>
    </row>
    <row r="60" spans="1:26" ht="23.1" customHeight="1" thickBot="1">
      <c r="A60" s="903"/>
      <c r="C60" s="50"/>
      <c r="D60" s="1148"/>
      <c r="E60" s="1148"/>
      <c r="F60" s="1148"/>
      <c r="G60" s="1148"/>
      <c r="H60" s="26"/>
      <c r="I60" s="26"/>
      <c r="J60" s="51"/>
      <c r="K60" s="52"/>
      <c r="M60" s="789"/>
      <c r="N60" s="790"/>
      <c r="O60" s="790"/>
      <c r="P60" s="790"/>
      <c r="Q60" s="790"/>
      <c r="R60" s="790"/>
      <c r="S60" s="790"/>
      <c r="T60" s="790"/>
      <c r="U60" s="790"/>
      <c r="V60" s="790"/>
      <c r="W60" s="790"/>
      <c r="X60" s="790"/>
      <c r="Y60" s="790"/>
      <c r="Z60" s="791"/>
    </row>
    <row r="61" spans="1:26" ht="23.1" customHeight="1">
      <c r="A61" s="369"/>
      <c r="L61" s="32" t="s">
        <v>140</v>
      </c>
    </row>
    <row r="62" spans="1:26" ht="15">
      <c r="A62" s="369"/>
      <c r="D62" s="53" t="s">
        <v>39</v>
      </c>
      <c r="J62" s="30" t="s">
        <v>709</v>
      </c>
    </row>
    <row r="63" spans="1:26" ht="15">
      <c r="A63" s="369"/>
      <c r="D63" s="53" t="s">
        <v>41</v>
      </c>
    </row>
    <row r="64" spans="1:26" ht="15">
      <c r="A64" s="369"/>
      <c r="D64" s="53" t="s">
        <v>42</v>
      </c>
    </row>
    <row r="65" spans="1:4" ht="12.75">
      <c r="A65" s="24"/>
      <c r="D65" s="53" t="s">
        <v>43</v>
      </c>
    </row>
    <row r="66" spans="1:4" ht="12.75">
      <c r="A66" s="24"/>
      <c r="D66" s="53" t="s">
        <v>44</v>
      </c>
    </row>
    <row r="67" spans="1:4" ht="23.1" customHeight="1">
      <c r="A67" s="24"/>
    </row>
    <row r="68" spans="1:4" ht="23.1" customHeight="1">
      <c r="A68" s="24"/>
    </row>
    <row r="69" spans="1:4" ht="23.1" customHeight="1">
      <c r="A69" s="24"/>
    </row>
    <row r="70" spans="1:4" ht="23.1" customHeight="1">
      <c r="A70" s="369"/>
    </row>
    <row r="71" spans="1:4" ht="23.1" customHeight="1">
      <c r="A71" s="369"/>
    </row>
  </sheetData>
  <sheetProtection algorithmName="SHA-512" hashValue="7TuX2it2M3oi3w9BrUpBaaoW8C/4UsTI8Ce/OWZn4Xkaat87dZwFlFPd+UJBuhYXBXbRCJrk5uUU4BGNKv6sjA==" saltValue="mBUHJ36FCVgKT0GR2H1o7g==" spinCount="100000" sheet="1" objects="1" scenarios="1"/>
  <mergeCells count="9">
    <mergeCell ref="D60:G60"/>
    <mergeCell ref="H13:J13"/>
    <mergeCell ref="D15:F15"/>
    <mergeCell ref="D34:J34"/>
    <mergeCell ref="J6:J7"/>
    <mergeCell ref="E9:J9"/>
    <mergeCell ref="D12:E12"/>
    <mergeCell ref="D28:J28"/>
    <mergeCell ref="D57:J57"/>
  </mergeCells>
  <phoneticPr fontId="16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2:AE69"/>
  <sheetViews>
    <sheetView zoomScale="70" zoomScaleNormal="70" zoomScalePageLayoutView="125" workbookViewId="0">
      <selection activeCell="E11" sqref="E11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33.44140625" style="32" customWidth="1"/>
    <col min="6" max="15" width="13.44140625" style="33" customWidth="1"/>
    <col min="16" max="16" width="3.33203125" style="32" customWidth="1"/>
    <col min="17" max="16384" width="10.6640625" style="32"/>
  </cols>
  <sheetData>
    <row r="2" spans="1:31" ht="23.1" customHeight="1">
      <c r="A2" s="369"/>
      <c r="E2" s="347" t="str">
        <f>_GENERAL!D2</f>
        <v>Área de Presidencia, Hacienda y Modernización</v>
      </c>
    </row>
    <row r="3" spans="1:31" ht="23.1" customHeight="1">
      <c r="A3" s="369"/>
      <c r="E3" s="347" t="str">
        <f>_GENERAL!D3</f>
        <v>Dirección Insular de Hacienda</v>
      </c>
    </row>
    <row r="4" spans="1:31" ht="23.1" customHeight="1" thickBot="1">
      <c r="A4" s="369"/>
      <c r="B4" s="32" t="s">
        <v>100</v>
      </c>
    </row>
    <row r="5" spans="1:31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R5" s="757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9"/>
    </row>
    <row r="6" spans="1:31" ht="30" customHeight="1">
      <c r="A6" s="975"/>
      <c r="C6" s="38"/>
      <c r="D6" s="29" t="s">
        <v>2</v>
      </c>
      <c r="O6" s="1140">
        <f>ejercicio</f>
        <v>2022</v>
      </c>
      <c r="P6" s="39"/>
      <c r="R6" s="174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7"/>
    </row>
    <row r="7" spans="1:31" ht="30" customHeight="1">
      <c r="A7" s="975"/>
      <c r="C7" s="38"/>
      <c r="D7" s="29" t="s">
        <v>3</v>
      </c>
      <c r="O7" s="1140"/>
      <c r="P7" s="39"/>
      <c r="R7" s="178"/>
      <c r="S7" s="175" t="s">
        <v>101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80"/>
    </row>
    <row r="8" spans="1:31" ht="30" customHeight="1">
      <c r="A8" s="975"/>
      <c r="C8" s="38"/>
      <c r="D8" s="40"/>
      <c r="O8" s="41"/>
      <c r="P8" s="39"/>
      <c r="R8" s="818"/>
      <c r="S8" s="781"/>
      <c r="T8" s="781"/>
      <c r="U8" s="781"/>
      <c r="V8" s="781"/>
      <c r="W8" s="781"/>
      <c r="X8" s="781"/>
      <c r="Y8" s="781"/>
      <c r="Z8" s="781"/>
      <c r="AA8" s="781"/>
      <c r="AB8" s="781"/>
      <c r="AC8" s="781"/>
      <c r="AD8" s="781"/>
      <c r="AE8" s="819"/>
    </row>
    <row r="9" spans="1:31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936"/>
      <c r="Q9" s="970"/>
      <c r="R9" s="818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819"/>
    </row>
    <row r="10" spans="1:31" ht="6.95" customHeight="1">
      <c r="A10" s="975"/>
      <c r="C10" s="38"/>
      <c r="P10" s="39"/>
      <c r="R10" s="818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1"/>
      <c r="AE10" s="819"/>
    </row>
    <row r="11" spans="1:31" s="46" customFormat="1" ht="30" customHeight="1">
      <c r="A11" s="901"/>
      <c r="C11" s="42"/>
      <c r="D11" s="43" t="s">
        <v>710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R11" s="818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819"/>
    </row>
    <row r="12" spans="1:31" s="46" customFormat="1" ht="30" customHeight="1">
      <c r="A12" s="901"/>
      <c r="C12" s="42"/>
      <c r="D12" s="1160"/>
      <c r="E12" s="116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5"/>
      <c r="R12" s="818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819"/>
    </row>
    <row r="13" spans="1:31" s="46" customFormat="1" ht="18.95" customHeight="1">
      <c r="A13" s="901"/>
      <c r="C13" s="42"/>
      <c r="D13" s="101"/>
      <c r="E13" s="104"/>
      <c r="F13" s="1238" t="s">
        <v>711</v>
      </c>
      <c r="G13" s="1239"/>
      <c r="H13" s="1239"/>
      <c r="I13" s="1239"/>
      <c r="J13" s="1239"/>
      <c r="K13" s="1239"/>
      <c r="L13" s="1239"/>
      <c r="M13" s="1239"/>
      <c r="N13" s="1239"/>
      <c r="O13" s="1240"/>
      <c r="P13" s="45"/>
      <c r="R13" s="818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819"/>
    </row>
    <row r="14" spans="1:31" s="80" customFormat="1" ht="18.95" customHeight="1">
      <c r="A14" s="902"/>
      <c r="B14" s="970"/>
      <c r="C14" s="935"/>
      <c r="D14" s="1233" t="s">
        <v>680</v>
      </c>
      <c r="E14" s="1234"/>
      <c r="F14" s="117">
        <f>ejercicio+1</f>
        <v>2023</v>
      </c>
      <c r="G14" s="118">
        <f>ejercicio+2</f>
        <v>2024</v>
      </c>
      <c r="H14" s="118">
        <f>ejercicio+3</f>
        <v>2025</v>
      </c>
      <c r="I14" s="118">
        <f>ejercicio+4</f>
        <v>2026</v>
      </c>
      <c r="J14" s="118">
        <f>ejercicio+5</f>
        <v>2027</v>
      </c>
      <c r="K14" s="118">
        <f>ejercicio+6</f>
        <v>2028</v>
      </c>
      <c r="L14" s="118">
        <f>ejercicio+7</f>
        <v>2029</v>
      </c>
      <c r="M14" s="118">
        <f>ejercicio+8</f>
        <v>2030</v>
      </c>
      <c r="N14" s="118">
        <f>ejercicio+9</f>
        <v>2031</v>
      </c>
      <c r="O14" s="119">
        <f>ejercicio+10</f>
        <v>2032</v>
      </c>
      <c r="P14" s="936"/>
      <c r="Q14" s="970"/>
      <c r="R14" s="818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819"/>
    </row>
    <row r="15" spans="1:31" s="17" customFormat="1" ht="23.1" customHeight="1">
      <c r="A15" s="903"/>
      <c r="C15" s="47"/>
      <c r="D15" s="640" t="s">
        <v>683</v>
      </c>
      <c r="E15" s="706"/>
      <c r="F15" s="1035"/>
      <c r="G15" s="1036"/>
      <c r="H15" s="1036"/>
      <c r="I15" s="1036"/>
      <c r="J15" s="1036"/>
      <c r="K15" s="1036"/>
      <c r="L15" s="1036"/>
      <c r="M15" s="1036"/>
      <c r="N15" s="1036"/>
      <c r="O15" s="1103"/>
      <c r="P15" s="48"/>
      <c r="R15" s="818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819"/>
    </row>
    <row r="16" spans="1:31" s="17" customFormat="1" ht="23.1" customHeight="1">
      <c r="A16" s="903"/>
      <c r="C16" s="47"/>
      <c r="D16" s="640" t="s">
        <v>684</v>
      </c>
      <c r="E16" s="706"/>
      <c r="F16" s="1048"/>
      <c r="G16" s="708"/>
      <c r="H16" s="708"/>
      <c r="I16" s="708"/>
      <c r="J16" s="708"/>
      <c r="K16" s="708"/>
      <c r="L16" s="708"/>
      <c r="M16" s="708"/>
      <c r="N16" s="708"/>
      <c r="O16" s="709"/>
      <c r="P16" s="48"/>
      <c r="R16" s="818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819"/>
    </row>
    <row r="17" spans="1:31" s="17" customFormat="1" ht="23.1" customHeight="1">
      <c r="A17" s="903"/>
      <c r="C17" s="47"/>
      <c r="D17" s="640" t="s">
        <v>685</v>
      </c>
      <c r="E17" s="706"/>
      <c r="F17" s="1048"/>
      <c r="G17" s="708"/>
      <c r="H17" s="708"/>
      <c r="I17" s="708"/>
      <c r="J17" s="708"/>
      <c r="K17" s="708"/>
      <c r="L17" s="708"/>
      <c r="M17" s="708"/>
      <c r="N17" s="708"/>
      <c r="O17" s="709"/>
      <c r="P17" s="48"/>
      <c r="R17" s="818"/>
      <c r="S17" s="781"/>
      <c r="T17" s="781"/>
      <c r="U17" s="781"/>
      <c r="V17" s="781"/>
      <c r="W17" s="781"/>
      <c r="X17" s="781"/>
      <c r="Y17" s="781"/>
      <c r="Z17" s="781"/>
      <c r="AA17" s="781"/>
      <c r="AB17" s="781"/>
      <c r="AC17" s="781"/>
      <c r="AD17" s="781"/>
      <c r="AE17" s="819"/>
    </row>
    <row r="18" spans="1:31" ht="23.1" customHeight="1">
      <c r="A18" s="903"/>
      <c r="C18" s="47"/>
      <c r="D18" s="665" t="s">
        <v>686</v>
      </c>
      <c r="E18" s="710"/>
      <c r="F18" s="1038"/>
      <c r="G18" s="713"/>
      <c r="H18" s="713"/>
      <c r="I18" s="713"/>
      <c r="J18" s="713"/>
      <c r="K18" s="713"/>
      <c r="L18" s="713"/>
      <c r="M18" s="713"/>
      <c r="N18" s="713"/>
      <c r="O18" s="714"/>
      <c r="P18" s="39"/>
      <c r="R18" s="818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819"/>
    </row>
    <row r="19" spans="1:31" ht="23.1" customHeight="1">
      <c r="A19" s="903"/>
      <c r="C19" s="47"/>
      <c r="D19" s="705" t="s">
        <v>687</v>
      </c>
      <c r="E19" s="715"/>
      <c r="F19" s="1056"/>
      <c r="G19" s="718"/>
      <c r="H19" s="718"/>
      <c r="I19" s="718"/>
      <c r="J19" s="718"/>
      <c r="K19" s="718"/>
      <c r="L19" s="718"/>
      <c r="M19" s="718"/>
      <c r="N19" s="718"/>
      <c r="O19" s="719"/>
      <c r="P19" s="39"/>
      <c r="R19" s="818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819"/>
    </row>
    <row r="20" spans="1:31" ht="23.1" customHeight="1">
      <c r="A20" s="903"/>
      <c r="C20" s="47"/>
      <c r="D20" s="705" t="s">
        <v>688</v>
      </c>
      <c r="E20" s="715"/>
      <c r="F20" s="1056"/>
      <c r="G20" s="718"/>
      <c r="H20" s="718"/>
      <c r="I20" s="718"/>
      <c r="J20" s="718"/>
      <c r="K20" s="718"/>
      <c r="L20" s="718"/>
      <c r="M20" s="718"/>
      <c r="N20" s="718"/>
      <c r="O20" s="719"/>
      <c r="P20" s="39"/>
      <c r="R20" s="818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819"/>
    </row>
    <row r="21" spans="1:31" ht="23.1" customHeight="1">
      <c r="A21" s="903"/>
      <c r="C21" s="47"/>
      <c r="D21" s="705" t="s">
        <v>689</v>
      </c>
      <c r="E21" s="715"/>
      <c r="F21" s="1056"/>
      <c r="G21" s="718"/>
      <c r="H21" s="718"/>
      <c r="I21" s="718"/>
      <c r="J21" s="718"/>
      <c r="K21" s="718"/>
      <c r="L21" s="718"/>
      <c r="M21" s="718"/>
      <c r="N21" s="718"/>
      <c r="O21" s="719"/>
      <c r="P21" s="39"/>
      <c r="R21" s="818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1"/>
      <c r="AE21" s="819"/>
    </row>
    <row r="22" spans="1:31" ht="23.1" customHeight="1">
      <c r="A22" s="903"/>
      <c r="C22" s="47"/>
      <c r="D22" s="641" t="s">
        <v>712</v>
      </c>
      <c r="E22" s="720"/>
      <c r="F22" s="1040"/>
      <c r="G22" s="723"/>
      <c r="H22" s="723"/>
      <c r="I22" s="723"/>
      <c r="J22" s="723"/>
      <c r="K22" s="723"/>
      <c r="L22" s="723"/>
      <c r="M22" s="723"/>
      <c r="N22" s="723"/>
      <c r="O22" s="724"/>
      <c r="P22" s="39"/>
      <c r="R22" s="818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819"/>
    </row>
    <row r="23" spans="1:31" s="17" customFormat="1" ht="23.1" customHeight="1" thickBot="1">
      <c r="A23" s="903"/>
      <c r="B23" s="970"/>
      <c r="C23" s="935"/>
      <c r="D23" s="62" t="s">
        <v>713</v>
      </c>
      <c r="E23" s="63"/>
      <c r="F23" s="116">
        <f>SUM(F15:F22)</f>
        <v>0</v>
      </c>
      <c r="G23" s="109">
        <f t="shared" ref="G23:O23" si="0">SUM(G15:G22)</f>
        <v>0</v>
      </c>
      <c r="H23" s="109">
        <f t="shared" si="0"/>
        <v>0</v>
      </c>
      <c r="I23" s="109">
        <f t="shared" si="0"/>
        <v>0</v>
      </c>
      <c r="J23" s="109">
        <f t="shared" si="0"/>
        <v>0</v>
      </c>
      <c r="K23" s="109">
        <f t="shared" si="0"/>
        <v>0</v>
      </c>
      <c r="L23" s="109">
        <f t="shared" si="0"/>
        <v>0</v>
      </c>
      <c r="M23" s="109">
        <f t="shared" si="0"/>
        <v>0</v>
      </c>
      <c r="N23" s="109">
        <f t="shared" si="0"/>
        <v>0</v>
      </c>
      <c r="O23" s="115">
        <f t="shared" si="0"/>
        <v>0</v>
      </c>
      <c r="P23" s="48"/>
      <c r="R23" s="818"/>
      <c r="S23" s="781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1"/>
      <c r="AE23" s="819"/>
    </row>
    <row r="24" spans="1:31" s="17" customFormat="1" ht="23.1" customHeight="1">
      <c r="A24" s="903"/>
      <c r="B24" s="970"/>
      <c r="C24" s="935"/>
      <c r="D24" s="233"/>
      <c r="E24" s="233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48"/>
      <c r="R24" s="818"/>
      <c r="S24" s="781"/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1"/>
      <c r="AE24" s="819"/>
    </row>
    <row r="25" spans="1:31" s="17" customFormat="1" ht="23.1" customHeight="1">
      <c r="A25" s="903"/>
      <c r="B25" s="970"/>
      <c r="C25" s="935"/>
      <c r="D25" s="233"/>
      <c r="E25" s="233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48"/>
      <c r="R25" s="818"/>
      <c r="S25" s="781"/>
      <c r="T25" s="781"/>
      <c r="U25" s="781"/>
      <c r="V25" s="781"/>
      <c r="W25" s="781"/>
      <c r="X25" s="781"/>
      <c r="Y25" s="781"/>
      <c r="Z25" s="781"/>
      <c r="AA25" s="781"/>
      <c r="AB25" s="781"/>
      <c r="AC25" s="781"/>
      <c r="AD25" s="781"/>
      <c r="AE25" s="819"/>
    </row>
    <row r="26" spans="1:31" s="17" customFormat="1" ht="23.1" customHeight="1" thickBot="1">
      <c r="A26" s="903"/>
      <c r="B26" s="970"/>
      <c r="C26" s="935"/>
      <c r="D26" s="62" t="s">
        <v>714</v>
      </c>
      <c r="E26" s="63"/>
      <c r="F26" s="110"/>
      <c r="G26" s="70"/>
      <c r="H26" s="108"/>
      <c r="I26" s="109"/>
      <c r="J26" s="99"/>
      <c r="K26" s="99"/>
      <c r="L26" s="99"/>
      <c r="M26" s="99"/>
      <c r="N26" s="99"/>
      <c r="O26" s="99"/>
      <c r="P26" s="48"/>
      <c r="R26" s="818"/>
      <c r="S26" s="781"/>
      <c r="T26" s="781"/>
      <c r="U26" s="781"/>
      <c r="V26" s="781"/>
      <c r="W26" s="781"/>
      <c r="X26" s="781"/>
      <c r="Y26" s="781"/>
      <c r="Z26" s="781"/>
      <c r="AA26" s="781"/>
      <c r="AB26" s="781"/>
      <c r="AC26" s="781"/>
      <c r="AD26" s="781"/>
      <c r="AE26" s="819"/>
    </row>
    <row r="27" spans="1:31" s="17" customFormat="1" ht="6" customHeight="1">
      <c r="A27" s="904"/>
      <c r="B27" s="970"/>
      <c r="C27" s="935"/>
      <c r="D27" s="233"/>
      <c r="E27" s="233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48"/>
      <c r="R27" s="818"/>
      <c r="S27" s="781"/>
      <c r="T27" s="781"/>
      <c r="U27" s="781"/>
      <c r="V27" s="781"/>
      <c r="W27" s="781"/>
      <c r="X27" s="781"/>
      <c r="Y27" s="781"/>
      <c r="Z27" s="781"/>
      <c r="AA27" s="781"/>
      <c r="AB27" s="781"/>
      <c r="AC27" s="781"/>
      <c r="AD27" s="781"/>
      <c r="AE27" s="819"/>
    </row>
    <row r="28" spans="1:31" s="17" customFormat="1" ht="23.1" customHeight="1" thickBot="1">
      <c r="A28" s="903"/>
      <c r="B28" s="970"/>
      <c r="C28" s="935"/>
      <c r="D28" s="248" t="s">
        <v>691</v>
      </c>
      <c r="E28" s="249"/>
      <c r="F28" s="109">
        <f>F23</f>
        <v>0</v>
      </c>
      <c r="G28" s="109">
        <f t="shared" ref="G28:O28" si="1">G23</f>
        <v>0</v>
      </c>
      <c r="H28" s="109">
        <f t="shared" si="1"/>
        <v>0</v>
      </c>
      <c r="I28" s="109">
        <f t="shared" si="1"/>
        <v>0</v>
      </c>
      <c r="J28" s="109">
        <f t="shared" si="1"/>
        <v>0</v>
      </c>
      <c r="K28" s="109">
        <f t="shared" si="1"/>
        <v>0</v>
      </c>
      <c r="L28" s="109">
        <f t="shared" si="1"/>
        <v>0</v>
      </c>
      <c r="M28" s="109">
        <f t="shared" si="1"/>
        <v>0</v>
      </c>
      <c r="N28" s="109">
        <f t="shared" si="1"/>
        <v>0</v>
      </c>
      <c r="O28" s="115">
        <f t="shared" si="1"/>
        <v>0</v>
      </c>
      <c r="P28" s="48"/>
      <c r="R28" s="818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819"/>
    </row>
    <row r="29" spans="1:31" s="17" customFormat="1" ht="6" customHeight="1">
      <c r="A29" s="904"/>
      <c r="B29" s="970"/>
      <c r="C29" s="935"/>
      <c r="D29" s="632"/>
      <c r="E29" s="632"/>
      <c r="F29" s="99"/>
      <c r="G29" s="99"/>
      <c r="H29" s="99"/>
      <c r="I29" s="99"/>
      <c r="J29" s="99"/>
      <c r="K29" s="99"/>
      <c r="L29" s="99"/>
      <c r="M29" s="99"/>
      <c r="N29" s="99"/>
      <c r="O29" s="392"/>
      <c r="P29" s="48"/>
      <c r="R29" s="818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1"/>
      <c r="AE29" s="819"/>
    </row>
    <row r="30" spans="1:31" s="17" customFormat="1" ht="23.1" customHeight="1" thickBot="1">
      <c r="A30" s="903"/>
      <c r="B30" s="970"/>
      <c r="C30" s="935"/>
      <c r="D30" s="62" t="s">
        <v>697</v>
      </c>
      <c r="E30" s="63"/>
      <c r="F30" s="109">
        <f t="shared" ref="F30:H30" si="2">SUM(F31:F36)</f>
        <v>0</v>
      </c>
      <c r="G30" s="109">
        <f t="shared" si="2"/>
        <v>0</v>
      </c>
      <c r="H30" s="109">
        <f t="shared" si="2"/>
        <v>0</v>
      </c>
      <c r="I30" s="109">
        <f>SUM(I31:I36)</f>
        <v>0</v>
      </c>
      <c r="J30" s="109">
        <f t="shared" ref="J30:N30" si="3">SUM(J31:J36)</f>
        <v>0</v>
      </c>
      <c r="K30" s="109">
        <f t="shared" si="3"/>
        <v>0</v>
      </c>
      <c r="L30" s="109">
        <f t="shared" si="3"/>
        <v>0</v>
      </c>
      <c r="M30" s="109">
        <f t="shared" si="3"/>
        <v>0</v>
      </c>
      <c r="N30" s="109">
        <f t="shared" si="3"/>
        <v>0</v>
      </c>
      <c r="O30" s="115">
        <f>SUM(O31:O36)</f>
        <v>0</v>
      </c>
      <c r="P30" s="48"/>
      <c r="R30" s="818"/>
      <c r="S30" s="781"/>
      <c r="T30" s="781"/>
      <c r="U30" s="781"/>
      <c r="V30" s="781"/>
      <c r="W30" s="781"/>
      <c r="X30" s="781"/>
      <c r="Y30" s="781"/>
      <c r="Z30" s="781"/>
      <c r="AA30" s="781"/>
      <c r="AB30" s="781"/>
      <c r="AC30" s="781"/>
      <c r="AD30" s="781"/>
      <c r="AE30" s="819"/>
    </row>
    <row r="31" spans="1:31" s="17" customFormat="1" ht="23.1" customHeight="1">
      <c r="A31" s="903"/>
      <c r="B31" s="970"/>
      <c r="C31" s="935"/>
      <c r="D31" s="640" t="s">
        <v>698</v>
      </c>
      <c r="E31" s="706"/>
      <c r="F31" s="708"/>
      <c r="G31" s="708"/>
      <c r="H31" s="708"/>
      <c r="I31" s="708"/>
      <c r="J31" s="708"/>
      <c r="K31" s="708"/>
      <c r="L31" s="708"/>
      <c r="M31" s="708"/>
      <c r="N31" s="708"/>
      <c r="O31" s="709"/>
      <c r="P31" s="48"/>
      <c r="R31" s="818"/>
      <c r="S31" s="781"/>
      <c r="T31" s="781"/>
      <c r="U31" s="781"/>
      <c r="V31" s="781"/>
      <c r="W31" s="781"/>
      <c r="X31" s="781"/>
      <c r="Y31" s="781"/>
      <c r="Z31" s="781"/>
      <c r="AA31" s="781"/>
      <c r="AB31" s="781"/>
      <c r="AC31" s="781"/>
      <c r="AD31" s="781"/>
      <c r="AE31" s="819"/>
    </row>
    <row r="32" spans="1:31" s="17" customFormat="1" ht="23.1" customHeight="1">
      <c r="A32" s="903"/>
      <c r="B32" s="970"/>
      <c r="C32" s="935"/>
      <c r="D32" s="640" t="s">
        <v>699</v>
      </c>
      <c r="E32" s="706"/>
      <c r="F32" s="708"/>
      <c r="G32" s="708"/>
      <c r="H32" s="708"/>
      <c r="I32" s="708"/>
      <c r="J32" s="708"/>
      <c r="K32" s="708"/>
      <c r="L32" s="708"/>
      <c r="M32" s="708"/>
      <c r="N32" s="708"/>
      <c r="O32" s="709"/>
      <c r="P32" s="48"/>
      <c r="R32" s="818"/>
      <c r="S32" s="781"/>
      <c r="T32" s="781"/>
      <c r="U32" s="781"/>
      <c r="V32" s="781"/>
      <c r="W32" s="781"/>
      <c r="X32" s="781"/>
      <c r="Y32" s="781"/>
      <c r="Z32" s="781"/>
      <c r="AA32" s="781"/>
      <c r="AB32" s="781"/>
      <c r="AC32" s="781"/>
      <c r="AD32" s="781"/>
      <c r="AE32" s="819"/>
    </row>
    <row r="33" spans="1:31" s="17" customFormat="1" ht="23.1" customHeight="1">
      <c r="A33" s="903"/>
      <c r="B33" s="970"/>
      <c r="C33" s="935"/>
      <c r="D33" s="640" t="s">
        <v>700</v>
      </c>
      <c r="E33" s="706"/>
      <c r="F33" s="708"/>
      <c r="G33" s="708"/>
      <c r="H33" s="708"/>
      <c r="I33" s="708"/>
      <c r="J33" s="708"/>
      <c r="K33" s="708"/>
      <c r="L33" s="708"/>
      <c r="M33" s="708"/>
      <c r="N33" s="708"/>
      <c r="O33" s="709"/>
      <c r="P33" s="48"/>
      <c r="R33" s="818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819"/>
    </row>
    <row r="34" spans="1:31" s="17" customFormat="1" ht="23.1" customHeight="1">
      <c r="A34" s="903"/>
      <c r="B34" s="970"/>
      <c r="C34" s="935"/>
      <c r="D34" s="665" t="s">
        <v>701</v>
      </c>
      <c r="E34" s="710"/>
      <c r="F34" s="713"/>
      <c r="G34" s="713"/>
      <c r="H34" s="713"/>
      <c r="I34" s="713"/>
      <c r="J34" s="713"/>
      <c r="K34" s="713"/>
      <c r="L34" s="713"/>
      <c r="M34" s="713"/>
      <c r="N34" s="713"/>
      <c r="O34" s="714"/>
      <c r="P34" s="48"/>
      <c r="R34" s="818"/>
      <c r="S34" s="781"/>
      <c r="T34" s="781"/>
      <c r="U34" s="781"/>
      <c r="V34" s="781"/>
      <c r="W34" s="781"/>
      <c r="X34" s="781"/>
      <c r="Y34" s="781"/>
      <c r="Z34" s="781"/>
      <c r="AA34" s="781"/>
      <c r="AB34" s="781"/>
      <c r="AC34" s="781"/>
      <c r="AD34" s="781"/>
      <c r="AE34" s="819"/>
    </row>
    <row r="35" spans="1:31" s="17" customFormat="1" ht="23.1" customHeight="1">
      <c r="A35" s="903"/>
      <c r="B35" s="970"/>
      <c r="C35" s="935"/>
      <c r="D35" s="705" t="s">
        <v>702</v>
      </c>
      <c r="E35" s="715"/>
      <c r="F35" s="718"/>
      <c r="G35" s="718"/>
      <c r="H35" s="718"/>
      <c r="I35" s="718"/>
      <c r="J35" s="718"/>
      <c r="K35" s="718"/>
      <c r="L35" s="718"/>
      <c r="M35" s="718"/>
      <c r="N35" s="718"/>
      <c r="O35" s="719"/>
      <c r="P35" s="48"/>
      <c r="R35" s="818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1"/>
      <c r="AE35" s="819"/>
    </row>
    <row r="36" spans="1:31" s="17" customFormat="1" ht="23.1" customHeight="1">
      <c r="A36" s="903"/>
      <c r="B36" s="970"/>
      <c r="C36" s="935"/>
      <c r="D36" s="641" t="s">
        <v>703</v>
      </c>
      <c r="E36" s="720"/>
      <c r="F36" s="723"/>
      <c r="G36" s="723"/>
      <c r="H36" s="723"/>
      <c r="I36" s="723"/>
      <c r="J36" s="723"/>
      <c r="K36" s="723"/>
      <c r="L36" s="723"/>
      <c r="M36" s="723"/>
      <c r="N36" s="723"/>
      <c r="O36" s="724"/>
      <c r="P36" s="48"/>
      <c r="R36" s="818"/>
      <c r="S36" s="781"/>
      <c r="T36" s="781"/>
      <c r="U36" s="781"/>
      <c r="V36" s="781"/>
      <c r="W36" s="781"/>
      <c r="X36" s="781"/>
      <c r="Y36" s="781"/>
      <c r="Z36" s="781"/>
      <c r="AA36" s="781"/>
      <c r="AB36" s="781"/>
      <c r="AC36" s="781"/>
      <c r="AD36" s="781"/>
      <c r="AE36" s="819"/>
    </row>
    <row r="37" spans="1:31" s="17" customFormat="1" ht="6" customHeight="1">
      <c r="A37" s="975"/>
      <c r="B37" s="970"/>
      <c r="C37" s="935"/>
      <c r="D37" s="632"/>
      <c r="E37" s="632"/>
      <c r="F37" s="99"/>
      <c r="G37" s="99"/>
      <c r="H37" s="99"/>
      <c r="I37" s="99"/>
      <c r="J37" s="99"/>
      <c r="K37" s="99"/>
      <c r="L37" s="99"/>
      <c r="M37" s="99"/>
      <c r="N37" s="99"/>
      <c r="O37" s="392"/>
      <c r="P37" s="48"/>
      <c r="R37" s="818"/>
      <c r="S37" s="781"/>
      <c r="T37" s="781"/>
      <c r="U37" s="781"/>
      <c r="V37" s="781"/>
      <c r="W37" s="781"/>
      <c r="X37" s="781"/>
      <c r="Y37" s="781"/>
      <c r="Z37" s="781"/>
      <c r="AA37" s="781"/>
      <c r="AB37" s="781"/>
      <c r="AC37" s="781"/>
      <c r="AD37" s="781"/>
      <c r="AE37" s="819"/>
    </row>
    <row r="38" spans="1:31" s="17" customFormat="1" ht="23.1" customHeight="1" thickBot="1">
      <c r="A38" s="975"/>
      <c r="B38" s="970"/>
      <c r="C38" s="935"/>
      <c r="D38" s="62" t="s">
        <v>704</v>
      </c>
      <c r="E38" s="63"/>
      <c r="F38" s="204"/>
      <c r="G38" s="204"/>
      <c r="H38" s="204"/>
      <c r="I38" s="204"/>
      <c r="J38" s="204"/>
      <c r="K38" s="204"/>
      <c r="L38" s="204"/>
      <c r="M38" s="204"/>
      <c r="N38" s="204"/>
      <c r="O38" s="215"/>
      <c r="P38" s="48"/>
      <c r="R38" s="818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  <c r="AE38" s="819"/>
    </row>
    <row r="39" spans="1:31" s="17" customFormat="1" ht="6" customHeight="1">
      <c r="A39" s="903"/>
      <c r="B39" s="970"/>
      <c r="C39" s="935"/>
      <c r="D39" s="233"/>
      <c r="E39" s="233"/>
      <c r="F39" s="725"/>
      <c r="G39" s="725"/>
      <c r="H39" s="725"/>
      <c r="I39" s="725"/>
      <c r="J39" s="725"/>
      <c r="K39" s="725"/>
      <c r="L39" s="725"/>
      <c r="M39" s="725"/>
      <c r="N39" s="725"/>
      <c r="O39" s="725"/>
      <c r="P39" s="48"/>
      <c r="R39" s="818"/>
      <c r="S39" s="781"/>
      <c r="T39" s="781"/>
      <c r="U39" s="781"/>
      <c r="V39" s="781"/>
      <c r="W39" s="781"/>
      <c r="X39" s="781"/>
      <c r="Y39" s="781"/>
      <c r="Z39" s="781"/>
      <c r="AA39" s="781"/>
      <c r="AB39" s="781"/>
      <c r="AC39" s="781"/>
      <c r="AD39" s="781"/>
      <c r="AE39" s="819"/>
    </row>
    <row r="40" spans="1:31" s="17" customFormat="1" ht="23.1" customHeight="1" thickBot="1">
      <c r="A40" s="903"/>
      <c r="B40" s="970"/>
      <c r="C40" s="935"/>
      <c r="D40" s="248" t="s">
        <v>715</v>
      </c>
      <c r="E40" s="249"/>
      <c r="F40" s="109">
        <f t="shared" ref="F40:O40" si="4">F28+F30+F38</f>
        <v>0</v>
      </c>
      <c r="G40" s="109">
        <f t="shared" si="4"/>
        <v>0</v>
      </c>
      <c r="H40" s="109">
        <f t="shared" si="4"/>
        <v>0</v>
      </c>
      <c r="I40" s="109">
        <f t="shared" si="4"/>
        <v>0</v>
      </c>
      <c r="J40" s="109">
        <f t="shared" si="4"/>
        <v>0</v>
      </c>
      <c r="K40" s="109">
        <f t="shared" si="4"/>
        <v>0</v>
      </c>
      <c r="L40" s="109">
        <f t="shared" si="4"/>
        <v>0</v>
      </c>
      <c r="M40" s="109">
        <f t="shared" si="4"/>
        <v>0</v>
      </c>
      <c r="N40" s="109">
        <f t="shared" si="4"/>
        <v>0</v>
      </c>
      <c r="O40" s="115">
        <f t="shared" si="4"/>
        <v>0</v>
      </c>
      <c r="P40" s="48"/>
      <c r="R40" s="818"/>
      <c r="S40" s="781"/>
      <c r="T40" s="781"/>
      <c r="U40" s="781"/>
      <c r="V40" s="781"/>
      <c r="W40" s="781"/>
      <c r="X40" s="781"/>
      <c r="Y40" s="781"/>
      <c r="Z40" s="781"/>
      <c r="AA40" s="781"/>
      <c r="AB40" s="781"/>
      <c r="AC40" s="781"/>
      <c r="AD40" s="781"/>
      <c r="AE40" s="819"/>
    </row>
    <row r="41" spans="1:31" ht="23.1" customHeight="1">
      <c r="A41" s="903"/>
      <c r="C41" s="47"/>
      <c r="D41" s="632"/>
      <c r="E41" s="632"/>
      <c r="F41" s="99"/>
      <c r="G41" s="99"/>
      <c r="H41" s="99"/>
      <c r="I41" s="99"/>
      <c r="J41" s="99"/>
      <c r="K41" s="99"/>
      <c r="L41" s="99"/>
      <c r="M41" s="99"/>
      <c r="N41" s="99"/>
      <c r="O41" s="392"/>
      <c r="P41" s="39"/>
      <c r="R41" s="818"/>
      <c r="S41" s="781"/>
      <c r="T41" s="781"/>
      <c r="U41" s="781"/>
      <c r="V41" s="781"/>
      <c r="W41" s="781"/>
      <c r="X41" s="781"/>
      <c r="Y41" s="781"/>
      <c r="Z41" s="781"/>
      <c r="AA41" s="781"/>
      <c r="AB41" s="781"/>
      <c r="AC41" s="781"/>
      <c r="AD41" s="781"/>
      <c r="AE41" s="819"/>
    </row>
    <row r="42" spans="1:31" ht="23.1" customHeight="1">
      <c r="A42" s="903"/>
      <c r="C42" s="47"/>
      <c r="D42" s="68" t="s">
        <v>716</v>
      </c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31"/>
      <c r="P42" s="39"/>
      <c r="R42" s="818"/>
      <c r="S42" s="781"/>
      <c r="T42" s="781"/>
      <c r="U42" s="781"/>
      <c r="V42" s="781"/>
      <c r="W42" s="781"/>
      <c r="X42" s="781"/>
      <c r="Y42" s="781"/>
      <c r="Z42" s="781"/>
      <c r="AA42" s="781"/>
      <c r="AB42" s="781"/>
      <c r="AC42" s="781"/>
      <c r="AD42" s="781"/>
      <c r="AE42" s="819"/>
    </row>
    <row r="43" spans="1:31" ht="30.95" customHeight="1">
      <c r="A43" s="903"/>
      <c r="C43" s="47"/>
      <c r="D43" s="1237" t="s">
        <v>706</v>
      </c>
      <c r="E43" s="1237"/>
      <c r="F43" s="1237"/>
      <c r="G43" s="1237"/>
      <c r="H43" s="1237"/>
      <c r="I43" s="1237"/>
      <c r="J43" s="1237"/>
      <c r="K43" s="1237"/>
      <c r="L43" s="1237"/>
      <c r="M43" s="1237"/>
      <c r="N43" s="1237"/>
      <c r="O43" s="31"/>
      <c r="P43" s="39"/>
      <c r="R43" s="818"/>
      <c r="S43" s="781"/>
      <c r="T43" s="781"/>
      <c r="U43" s="781"/>
      <c r="V43" s="781"/>
      <c r="W43" s="781"/>
      <c r="X43" s="781"/>
      <c r="Y43" s="781"/>
      <c r="Z43" s="781"/>
      <c r="AA43" s="781"/>
      <c r="AB43" s="781"/>
      <c r="AC43" s="781"/>
      <c r="AD43" s="781"/>
      <c r="AE43" s="819"/>
    </row>
    <row r="44" spans="1:31" ht="18">
      <c r="A44" s="903"/>
      <c r="C44" s="47"/>
      <c r="D44" s="726" t="s">
        <v>717</v>
      </c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31"/>
      <c r="P44" s="39"/>
      <c r="R44" s="818"/>
      <c r="S44" s="781"/>
      <c r="T44" s="781"/>
      <c r="U44" s="781"/>
      <c r="V44" s="781"/>
      <c r="W44" s="781"/>
      <c r="X44" s="781"/>
      <c r="Y44" s="781"/>
      <c r="Z44" s="781"/>
      <c r="AA44" s="781"/>
      <c r="AB44" s="781"/>
      <c r="AC44" s="781"/>
      <c r="AD44" s="781"/>
      <c r="AE44" s="819"/>
    </row>
    <row r="45" spans="1:31" ht="23.1" customHeight="1" thickBot="1">
      <c r="A45" s="903"/>
      <c r="C45" s="50"/>
      <c r="D45" s="1148"/>
      <c r="E45" s="1148"/>
      <c r="F45" s="26"/>
      <c r="G45" s="26"/>
      <c r="H45" s="26"/>
      <c r="I45" s="26"/>
      <c r="J45" s="26"/>
      <c r="K45" s="26"/>
      <c r="L45" s="26"/>
      <c r="M45" s="26"/>
      <c r="N45" s="26"/>
      <c r="O45" s="51"/>
      <c r="P45" s="52"/>
      <c r="R45" s="820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1"/>
      <c r="AD45" s="821"/>
      <c r="AE45" s="822"/>
    </row>
    <row r="46" spans="1:31" ht="23.1" customHeight="1">
      <c r="A46" s="369"/>
      <c r="Q46" s="32" t="s">
        <v>140</v>
      </c>
    </row>
    <row r="47" spans="1:31" ht="15">
      <c r="A47" s="369"/>
      <c r="D47" s="53" t="s">
        <v>39</v>
      </c>
      <c r="O47" s="30" t="s">
        <v>718</v>
      </c>
    </row>
    <row r="48" spans="1:31" ht="15">
      <c r="A48" s="369"/>
      <c r="D48" s="53" t="s">
        <v>41</v>
      </c>
    </row>
    <row r="49" spans="4:4" ht="15">
      <c r="D49" s="53" t="s">
        <v>42</v>
      </c>
    </row>
    <row r="50" spans="4:4" ht="15">
      <c r="D50" s="53" t="s">
        <v>43</v>
      </c>
    </row>
    <row r="51" spans="4:4" ht="15">
      <c r="D51" s="53" t="s">
        <v>44</v>
      </c>
    </row>
    <row r="65" spans="1:1" ht="23.1" customHeight="1">
      <c r="A65" s="24"/>
    </row>
    <row r="66" spans="1:1" ht="23.1" customHeight="1">
      <c r="A66" s="24"/>
    </row>
    <row r="67" spans="1:1" ht="23.1" customHeight="1">
      <c r="A67" s="24"/>
    </row>
    <row r="68" spans="1:1" ht="23.1" customHeight="1">
      <c r="A68" s="24"/>
    </row>
    <row r="69" spans="1:1" ht="23.1" customHeight="1">
      <c r="A69" s="24"/>
    </row>
  </sheetData>
  <sheetProtection algorithmName="SHA-512" hashValue="jD8CP7IOu8/iCDWmXY42hilFchHa2DiH3UZ6osn2HYgOOTke/oqThc+q/FsPjGko2CbejEjOtmLP2QV0kL4jLw==" saltValue="/Soo0JmPDB+IdqFk4dpLCA==" spinCount="100000" sheet="1" objects="1" scenarios="1"/>
  <mergeCells count="7">
    <mergeCell ref="D45:E45"/>
    <mergeCell ref="O6:O7"/>
    <mergeCell ref="E9:O9"/>
    <mergeCell ref="D12:E12"/>
    <mergeCell ref="F13:O13"/>
    <mergeCell ref="D14:E14"/>
    <mergeCell ref="D43:N43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2:AA76"/>
  <sheetViews>
    <sheetView zoomScale="70" zoomScaleNormal="70" workbookViewId="0">
      <selection activeCell="E14" sqref="D14:E14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5.33203125" style="32" customWidth="1"/>
    <col min="5" max="5" width="18.88671875" style="32" customWidth="1"/>
    <col min="6" max="6" width="13.33203125" style="32" customWidth="1"/>
    <col min="7" max="11" width="18.6640625" style="33" customWidth="1"/>
    <col min="12" max="12" width="3.33203125" style="32" customWidth="1"/>
    <col min="13" max="16384" width="10.6640625" style="32"/>
  </cols>
  <sheetData>
    <row r="2" spans="1:27" ht="23.1" customHeight="1">
      <c r="A2" s="369"/>
      <c r="F2" s="347" t="str">
        <f>_GENERAL!D2</f>
        <v>Área de Presidencia, Hacienda y Modernización</v>
      </c>
    </row>
    <row r="3" spans="1:27" ht="23.1" customHeight="1">
      <c r="A3" s="369"/>
      <c r="F3" s="347" t="str">
        <f>_GENERAL!D3</f>
        <v>Dirección Insular de Hacienda</v>
      </c>
    </row>
    <row r="4" spans="1:27" ht="23.1" customHeight="1" thickBot="1">
      <c r="A4" s="369"/>
      <c r="B4" s="32" t="s">
        <v>100</v>
      </c>
    </row>
    <row r="5" spans="1:27" ht="9" customHeight="1">
      <c r="A5" s="975"/>
      <c r="C5" s="34"/>
      <c r="D5" s="35"/>
      <c r="E5" s="35"/>
      <c r="F5" s="35"/>
      <c r="G5" s="36"/>
      <c r="H5" s="36"/>
      <c r="I5" s="36"/>
      <c r="J5" s="36"/>
      <c r="K5" s="36"/>
      <c r="L5" s="37"/>
      <c r="N5" s="757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9"/>
    </row>
    <row r="6" spans="1:27" ht="30" customHeight="1">
      <c r="A6" s="975"/>
      <c r="C6" s="38"/>
      <c r="D6" s="29" t="s">
        <v>2</v>
      </c>
      <c r="F6" s="33"/>
      <c r="K6" s="1140">
        <f>ejercicio</f>
        <v>2022</v>
      </c>
      <c r="L6" s="39"/>
      <c r="N6" s="818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1"/>
      <c r="AA6" s="819"/>
    </row>
    <row r="7" spans="1:27" ht="30" customHeight="1">
      <c r="A7" s="975"/>
      <c r="C7" s="38"/>
      <c r="D7" s="29" t="s">
        <v>3</v>
      </c>
      <c r="F7" s="33"/>
      <c r="K7" s="1140"/>
      <c r="L7" s="39"/>
      <c r="N7" s="178"/>
      <c r="O7" s="175" t="s">
        <v>101</v>
      </c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</row>
    <row r="8" spans="1:27" ht="30" customHeight="1">
      <c r="A8" s="975"/>
      <c r="C8" s="38"/>
      <c r="D8" s="40"/>
      <c r="F8" s="33"/>
      <c r="K8" s="41"/>
      <c r="L8" s="39"/>
      <c r="N8" s="818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819"/>
    </row>
    <row r="9" spans="1:27" s="80" customFormat="1" ht="30" customHeight="1">
      <c r="A9" s="900" t="s">
        <v>46</v>
      </c>
      <c r="B9" s="970"/>
      <c r="C9" s="935"/>
      <c r="D9" s="22" t="s">
        <v>47</v>
      </c>
      <c r="E9" s="133"/>
      <c r="F9" s="1149" t="str">
        <f>Entidad</f>
        <v>FUNDACION CANARIA TENERIFE RURAL</v>
      </c>
      <c r="G9" s="1149"/>
      <c r="H9" s="1149"/>
      <c r="I9" s="1149"/>
      <c r="J9" s="1149"/>
      <c r="K9" s="1149"/>
      <c r="L9" s="39"/>
      <c r="M9" s="970"/>
      <c r="N9" s="818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819"/>
    </row>
    <row r="10" spans="1:27" ht="6.95" customHeight="1">
      <c r="A10" s="975"/>
      <c r="C10" s="38"/>
      <c r="F10" s="33"/>
      <c r="K10" s="32"/>
      <c r="L10" s="39"/>
      <c r="N10" s="818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819"/>
    </row>
    <row r="11" spans="1:27" s="46" customFormat="1" ht="30" customHeight="1">
      <c r="A11" s="901"/>
      <c r="C11" s="42"/>
      <c r="D11" s="43" t="s">
        <v>719</v>
      </c>
      <c r="E11" s="43"/>
      <c r="F11" s="44"/>
      <c r="G11" s="44"/>
      <c r="H11" s="44"/>
      <c r="I11" s="44"/>
      <c r="J11" s="44"/>
      <c r="K11" s="44"/>
      <c r="L11" s="39"/>
      <c r="N11" s="818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1"/>
      <c r="AA11" s="819"/>
    </row>
    <row r="12" spans="1:27" s="46" customFormat="1" ht="30" customHeight="1">
      <c r="A12" s="901"/>
      <c r="C12" s="42"/>
      <c r="D12" s="1160"/>
      <c r="E12" s="1160"/>
      <c r="F12" s="31"/>
      <c r="G12" s="31"/>
      <c r="H12" s="31"/>
      <c r="I12" s="31"/>
      <c r="J12" s="31"/>
      <c r="K12" s="132"/>
      <c r="L12" s="39"/>
      <c r="N12" s="818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819"/>
    </row>
    <row r="13" spans="1:27" ht="29.1" customHeight="1">
      <c r="A13" s="901"/>
      <c r="C13" s="47"/>
      <c r="D13" s="28" t="s">
        <v>720</v>
      </c>
      <c r="E13" s="604"/>
      <c r="F13" s="31"/>
      <c r="G13" s="31"/>
      <c r="H13" s="31"/>
      <c r="I13" s="31"/>
      <c r="J13" s="31"/>
      <c r="K13" s="32"/>
      <c r="L13" s="39"/>
      <c r="N13" s="818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  <c r="AA13" s="819"/>
    </row>
    <row r="14" spans="1:27" ht="24.95" customHeight="1">
      <c r="A14" s="902"/>
      <c r="C14" s="47"/>
      <c r="D14" s="1137" t="s">
        <v>721</v>
      </c>
      <c r="E14" s="1138"/>
      <c r="F14" s="604"/>
      <c r="G14" s="31"/>
      <c r="H14" s="31"/>
      <c r="I14" s="31"/>
      <c r="J14" s="31"/>
      <c r="K14" s="31"/>
      <c r="L14" s="39"/>
      <c r="N14" s="818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819"/>
    </row>
    <row r="15" spans="1:27" ht="23.1" customHeight="1">
      <c r="A15" s="903"/>
      <c r="C15" s="47"/>
      <c r="D15" s="205" t="s">
        <v>722</v>
      </c>
      <c r="E15" s="632" t="s">
        <v>723</v>
      </c>
      <c r="G15" s="31"/>
      <c r="H15" s="31"/>
      <c r="I15" s="31"/>
      <c r="J15" s="31"/>
      <c r="K15" s="31"/>
      <c r="L15" s="39"/>
      <c r="N15" s="818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819"/>
    </row>
    <row r="16" spans="1:27" ht="9" customHeight="1">
      <c r="A16" s="975"/>
      <c r="C16" s="47"/>
      <c r="D16" s="60"/>
      <c r="E16" s="632"/>
      <c r="G16" s="31"/>
      <c r="H16" s="31"/>
      <c r="I16" s="31"/>
      <c r="J16" s="31"/>
      <c r="K16" s="31"/>
      <c r="L16" s="39"/>
      <c r="N16" s="818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819"/>
    </row>
    <row r="17" spans="1:27" ht="23.1" customHeight="1">
      <c r="A17" s="903"/>
      <c r="C17" s="47"/>
      <c r="D17" s="205"/>
      <c r="E17" s="632" t="s">
        <v>724</v>
      </c>
      <c r="G17" s="31"/>
      <c r="H17" s="31"/>
      <c r="I17" s="31"/>
      <c r="J17" s="31"/>
      <c r="K17" s="31"/>
      <c r="L17" s="39"/>
      <c r="N17" s="818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1"/>
      <c r="Z17" s="781"/>
      <c r="AA17" s="819"/>
    </row>
    <row r="18" spans="1:27" ht="9.9499999999999993" customHeight="1">
      <c r="A18" s="975"/>
      <c r="C18" s="47"/>
      <c r="D18" s="60"/>
      <c r="E18" s="632"/>
      <c r="G18" s="31"/>
      <c r="H18" s="31"/>
      <c r="I18" s="31"/>
      <c r="J18" s="31"/>
      <c r="K18" s="31"/>
      <c r="L18" s="39"/>
      <c r="N18" s="818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819"/>
    </row>
    <row r="19" spans="1:27" ht="23.1" customHeight="1">
      <c r="A19" s="903"/>
      <c r="C19" s="47"/>
      <c r="D19" s="205"/>
      <c r="E19" s="632" t="s">
        <v>725</v>
      </c>
      <c r="G19" s="31"/>
      <c r="H19" s="31"/>
      <c r="I19" s="31"/>
      <c r="J19" s="31"/>
      <c r="K19" s="31"/>
      <c r="L19" s="39"/>
      <c r="N19" s="818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819"/>
    </row>
    <row r="20" spans="1:27" ht="9" customHeight="1">
      <c r="A20" s="975"/>
      <c r="C20" s="47"/>
      <c r="D20" s="60"/>
      <c r="E20" s="632"/>
      <c r="G20" s="31"/>
      <c r="H20" s="31"/>
      <c r="I20" s="31"/>
      <c r="J20" s="31"/>
      <c r="K20" s="31"/>
      <c r="L20" s="39"/>
      <c r="N20" s="818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819"/>
    </row>
    <row r="21" spans="1:27" ht="23.1" customHeight="1">
      <c r="A21" s="903"/>
      <c r="C21" s="47"/>
      <c r="D21" s="205"/>
      <c r="E21" s="632" t="s">
        <v>726</v>
      </c>
      <c r="G21" s="31"/>
      <c r="H21" s="31"/>
      <c r="I21" s="31"/>
      <c r="J21" s="31"/>
      <c r="K21" s="31"/>
      <c r="L21" s="39"/>
      <c r="N21" s="818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819"/>
    </row>
    <row r="22" spans="1:27" ht="9" customHeight="1">
      <c r="A22" s="975"/>
      <c r="C22" s="47"/>
      <c r="D22" s="60"/>
      <c r="E22" s="632"/>
      <c r="G22" s="31"/>
      <c r="H22" s="31"/>
      <c r="I22" s="31"/>
      <c r="J22" s="31"/>
      <c r="K22" s="31"/>
      <c r="L22" s="39"/>
      <c r="N22" s="818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819"/>
    </row>
    <row r="23" spans="1:27" ht="23.1" customHeight="1">
      <c r="A23" s="903"/>
      <c r="C23" s="47"/>
      <c r="D23" s="205"/>
      <c r="E23" s="632" t="s">
        <v>727</v>
      </c>
      <c r="G23" s="31"/>
      <c r="H23" s="31"/>
      <c r="I23" s="31"/>
      <c r="J23" s="31"/>
      <c r="K23" s="31"/>
      <c r="L23" s="39"/>
      <c r="N23" s="818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1"/>
      <c r="Z23" s="781"/>
      <c r="AA23" s="819"/>
    </row>
    <row r="24" spans="1:27" ht="23.1" customHeight="1">
      <c r="A24" s="903"/>
      <c r="C24" s="47"/>
      <c r="D24" s="60"/>
      <c r="E24" s="632"/>
      <c r="G24" s="31"/>
      <c r="H24" s="31"/>
      <c r="I24" s="31"/>
      <c r="J24" s="31"/>
      <c r="K24" s="31"/>
      <c r="L24" s="39"/>
      <c r="N24" s="818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  <c r="AA24" s="819"/>
    </row>
    <row r="25" spans="1:27" ht="23.1" customHeight="1">
      <c r="A25" s="903"/>
      <c r="C25" s="47"/>
      <c r="D25" s="17"/>
      <c r="E25" s="604"/>
      <c r="F25" s="604"/>
      <c r="G25" s="31"/>
      <c r="H25" s="31"/>
      <c r="I25" s="31"/>
      <c r="J25" s="31"/>
      <c r="K25" s="31"/>
      <c r="L25" s="39"/>
      <c r="N25" s="818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1"/>
      <c r="Z25" s="781"/>
      <c r="AA25" s="819"/>
    </row>
    <row r="26" spans="1:27" ht="23.1" customHeight="1">
      <c r="A26" s="975"/>
      <c r="C26" s="47"/>
      <c r="D26" s="28" t="s">
        <v>728</v>
      </c>
      <c r="F26" s="604"/>
      <c r="G26" s="31"/>
      <c r="H26" s="31"/>
      <c r="I26" s="31"/>
      <c r="J26" s="31"/>
      <c r="K26" s="31"/>
      <c r="L26" s="39"/>
      <c r="N26" s="818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1"/>
      <c r="Z26" s="781"/>
      <c r="AA26" s="819"/>
    </row>
    <row r="27" spans="1:27" ht="9" customHeight="1">
      <c r="A27" s="975"/>
      <c r="C27" s="47"/>
      <c r="D27" s="28"/>
      <c r="F27" s="604"/>
      <c r="G27" s="31"/>
      <c r="H27" s="31"/>
      <c r="I27" s="31"/>
      <c r="J27" s="31"/>
      <c r="K27" s="31"/>
      <c r="L27" s="39"/>
      <c r="N27" s="818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1"/>
      <c r="Z27" s="781"/>
      <c r="AA27" s="819"/>
    </row>
    <row r="28" spans="1:27" ht="23.1" customHeight="1">
      <c r="A28" s="903"/>
      <c r="C28" s="47"/>
      <c r="D28" s="81" t="str">
        <f>IF(VLOOKUP("X",D15:E23,2,FALSE)="#N/A",VLOOKUP("x",D15:E23,2,FALSE),VLOOKUP("X",D15:E23,2,FALSE))</f>
        <v xml:space="preserve">  Administracion General y Resto de sectores</v>
      </c>
      <c r="E28" s="82"/>
      <c r="F28" s="82"/>
      <c r="G28" s="82"/>
      <c r="H28" s="82"/>
      <c r="I28" s="140"/>
      <c r="J28" s="31"/>
      <c r="K28" s="31"/>
      <c r="L28" s="39"/>
      <c r="N28" s="818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1"/>
      <c r="Z28" s="781"/>
      <c r="AA28" s="819"/>
    </row>
    <row r="29" spans="1:27" ht="23.1" customHeight="1">
      <c r="A29" s="903"/>
      <c r="C29" s="47"/>
      <c r="D29" s="17"/>
      <c r="E29" s="604"/>
      <c r="F29" s="604"/>
      <c r="G29" s="31"/>
      <c r="H29" s="31"/>
      <c r="I29" s="31"/>
      <c r="J29" s="31"/>
      <c r="K29" s="31"/>
      <c r="L29" s="39"/>
      <c r="N29" s="818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  <c r="AA29" s="819"/>
    </row>
    <row r="30" spans="1:27" s="40" customFormat="1" ht="23.1" customHeight="1">
      <c r="A30" s="903"/>
      <c r="C30" s="65"/>
      <c r="D30" s="81" t="s">
        <v>729</v>
      </c>
      <c r="E30" s="76"/>
      <c r="F30" s="96"/>
      <c r="G30" s="83">
        <f>F45</f>
        <v>14</v>
      </c>
      <c r="H30" s="31"/>
      <c r="I30" s="31"/>
      <c r="J30" s="31"/>
      <c r="K30" s="31"/>
      <c r="L30" s="56"/>
      <c r="N30" s="818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781"/>
      <c r="Z30" s="781"/>
      <c r="AA30" s="819"/>
    </row>
    <row r="31" spans="1:27" s="40" customFormat="1" ht="23.1" customHeight="1">
      <c r="A31" s="903"/>
      <c r="C31" s="65"/>
      <c r="D31" s="144" t="s">
        <v>730</v>
      </c>
      <c r="E31" s="145"/>
      <c r="F31" s="146"/>
      <c r="G31" s="83">
        <f>K45+G53</f>
        <v>397280.31000000006</v>
      </c>
      <c r="H31" s="31"/>
      <c r="I31" s="31"/>
      <c r="J31" s="31"/>
      <c r="K31" s="31"/>
      <c r="L31" s="56"/>
      <c r="N31" s="818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  <c r="AA31" s="819"/>
    </row>
    <row r="32" spans="1:27" ht="23.1" customHeight="1">
      <c r="A32" s="903"/>
      <c r="C32" s="47"/>
      <c r="E32" s="632"/>
      <c r="F32" s="604"/>
      <c r="G32" s="99"/>
      <c r="H32" s="31"/>
      <c r="I32" s="31"/>
      <c r="J32" s="31"/>
      <c r="K32" s="31"/>
      <c r="L32" s="39"/>
      <c r="N32" s="818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781"/>
      <c r="Z32" s="781"/>
      <c r="AA32" s="819"/>
    </row>
    <row r="33" spans="1:27" ht="23.1" customHeight="1">
      <c r="A33" s="903"/>
      <c r="C33" s="47"/>
      <c r="D33" s="17"/>
      <c r="E33" s="604"/>
      <c r="F33" s="604"/>
      <c r="G33" s="31"/>
      <c r="H33" s="31"/>
      <c r="I33" s="31"/>
      <c r="J33" s="31"/>
      <c r="K33" s="31"/>
      <c r="L33" s="39"/>
      <c r="N33" s="818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819"/>
    </row>
    <row r="34" spans="1:27" ht="23.1" customHeight="1">
      <c r="A34" s="903"/>
      <c r="C34" s="47"/>
      <c r="D34" s="28" t="s">
        <v>731</v>
      </c>
      <c r="F34" s="604"/>
      <c r="G34" s="31"/>
      <c r="H34" s="31"/>
      <c r="I34" s="31"/>
      <c r="J34" s="31"/>
      <c r="K34" s="31"/>
      <c r="L34" s="39"/>
      <c r="N34" s="818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1"/>
      <c r="AA34" s="819"/>
    </row>
    <row r="35" spans="1:27" ht="23.1" customHeight="1">
      <c r="A35" s="903"/>
      <c r="C35" s="47"/>
      <c r="D35" s="17"/>
      <c r="E35" s="604"/>
      <c r="F35" s="604"/>
      <c r="G35" s="31"/>
      <c r="H35" s="31"/>
      <c r="I35" s="31"/>
      <c r="J35" s="31"/>
      <c r="K35" s="31"/>
      <c r="L35" s="39"/>
      <c r="N35" s="818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81"/>
      <c r="AA35" s="819"/>
    </row>
    <row r="36" spans="1:27" s="120" customFormat="1" ht="23.1" customHeight="1">
      <c r="A36" s="903"/>
      <c r="C36" s="121"/>
      <c r="D36" s="134"/>
      <c r="E36" s="137"/>
      <c r="F36" s="122"/>
      <c r="G36" s="1184" t="s">
        <v>732</v>
      </c>
      <c r="H36" s="1185"/>
      <c r="I36" s="1185"/>
      <c r="J36" s="1185"/>
      <c r="K36" s="1186"/>
      <c r="L36" s="123"/>
      <c r="N36" s="818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1"/>
      <c r="Z36" s="781"/>
      <c r="AA36" s="819"/>
    </row>
    <row r="37" spans="1:27" s="120" customFormat="1" ht="24" customHeight="1">
      <c r="A37" s="903"/>
      <c r="C37" s="121"/>
      <c r="D37" s="1206" t="s">
        <v>733</v>
      </c>
      <c r="E37" s="1207"/>
      <c r="F37" s="125" t="s">
        <v>734</v>
      </c>
      <c r="G37" s="124" t="s">
        <v>735</v>
      </c>
      <c r="H37" s="124" t="s">
        <v>736</v>
      </c>
      <c r="I37" s="124" t="s">
        <v>737</v>
      </c>
      <c r="J37" s="124" t="s">
        <v>738</v>
      </c>
      <c r="K37" s="130" t="s">
        <v>739</v>
      </c>
      <c r="L37" s="123"/>
      <c r="N37" s="818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1"/>
      <c r="Z37" s="781"/>
      <c r="AA37" s="819"/>
    </row>
    <row r="38" spans="1:27" s="120" customFormat="1" ht="24" customHeight="1">
      <c r="A38" s="903"/>
      <c r="C38" s="121"/>
      <c r="D38" s="1215" t="s">
        <v>30</v>
      </c>
      <c r="E38" s="1216"/>
      <c r="F38" s="127" t="s">
        <v>740</v>
      </c>
      <c r="G38" s="126" t="s">
        <v>741</v>
      </c>
      <c r="H38" s="126" t="s">
        <v>742</v>
      </c>
      <c r="I38" s="126" t="s">
        <v>743</v>
      </c>
      <c r="J38" s="126" t="s">
        <v>744</v>
      </c>
      <c r="K38" s="128" t="s">
        <v>744</v>
      </c>
      <c r="L38" s="123"/>
      <c r="N38" s="818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  <c r="AA38" s="819"/>
    </row>
    <row r="39" spans="1:27" ht="23.1" customHeight="1">
      <c r="A39" s="903"/>
      <c r="C39" s="47"/>
      <c r="D39" s="640" t="s">
        <v>745</v>
      </c>
      <c r="E39" s="739"/>
      <c r="F39" s="1104"/>
      <c r="G39" s="390"/>
      <c r="H39" s="390"/>
      <c r="I39" s="390"/>
      <c r="J39" s="390"/>
      <c r="K39" s="216">
        <f>SUM(G39:J39)</f>
        <v>0</v>
      </c>
      <c r="L39" s="39"/>
      <c r="N39" s="818"/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781"/>
      <c r="Z39" s="781"/>
      <c r="AA39" s="819"/>
    </row>
    <row r="40" spans="1:27" ht="23.1" customHeight="1">
      <c r="A40" s="903"/>
      <c r="C40" s="47"/>
      <c r="D40" s="640" t="s">
        <v>746</v>
      </c>
      <c r="E40" s="739"/>
      <c r="F40" s="1104">
        <v>1</v>
      </c>
      <c r="G40" s="390">
        <f>43172.04+6327</f>
        <v>49499.040000000001</v>
      </c>
      <c r="H40" s="390"/>
      <c r="I40" s="390"/>
      <c r="J40" s="390">
        <v>5499.99</v>
      </c>
      <c r="K40" s="216">
        <f>SUM(G40:J40)</f>
        <v>54999.03</v>
      </c>
      <c r="L40" s="39"/>
      <c r="N40" s="818"/>
      <c r="O40" s="781"/>
      <c r="P40" s="781"/>
      <c r="Q40" s="781"/>
      <c r="R40" s="781"/>
      <c r="S40" s="781"/>
      <c r="T40" s="781"/>
      <c r="U40" s="781"/>
      <c r="V40" s="781"/>
      <c r="W40" s="781"/>
      <c r="X40" s="781"/>
      <c r="Y40" s="781"/>
      <c r="Z40" s="781"/>
      <c r="AA40" s="819"/>
    </row>
    <row r="41" spans="1:27" ht="23.1" customHeight="1">
      <c r="A41" s="903"/>
      <c r="C41" s="47"/>
      <c r="D41" s="640" t="s">
        <v>747</v>
      </c>
      <c r="E41" s="739"/>
      <c r="F41" s="1104"/>
      <c r="G41" s="390"/>
      <c r="H41" s="390"/>
      <c r="I41" s="390"/>
      <c r="J41" s="390"/>
      <c r="K41" s="216">
        <f t="shared" ref="K41:K44" si="0">SUM(G41:J41)</f>
        <v>0</v>
      </c>
      <c r="L41" s="39"/>
      <c r="N41" s="818"/>
      <c r="O41" s="781"/>
      <c r="P41" s="781"/>
      <c r="Q41" s="781"/>
      <c r="R41" s="781"/>
      <c r="S41" s="781"/>
      <c r="T41" s="781"/>
      <c r="U41" s="781"/>
      <c r="V41" s="781"/>
      <c r="W41" s="781"/>
      <c r="X41" s="781"/>
      <c r="Y41" s="781"/>
      <c r="Z41" s="781"/>
      <c r="AA41" s="819"/>
    </row>
    <row r="42" spans="1:27" ht="23.1" customHeight="1">
      <c r="A42" s="903"/>
      <c r="C42" s="47"/>
      <c r="D42" s="640" t="s">
        <v>748</v>
      </c>
      <c r="E42" s="739"/>
      <c r="F42" s="1104">
        <v>13</v>
      </c>
      <c r="G42" s="390">
        <v>234600</v>
      </c>
      <c r="H42" s="390"/>
      <c r="I42" s="390"/>
      <c r="J42" s="390">
        <v>9082.14</v>
      </c>
      <c r="K42" s="216">
        <f t="shared" si="0"/>
        <v>243682.14</v>
      </c>
      <c r="L42" s="39"/>
      <c r="N42" s="818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1"/>
      <c r="Z42" s="781"/>
      <c r="AA42" s="819"/>
    </row>
    <row r="43" spans="1:27" ht="23.1" customHeight="1">
      <c r="A43" s="903"/>
      <c r="C43" s="47"/>
      <c r="D43" s="640" t="s">
        <v>749</v>
      </c>
      <c r="E43" s="739"/>
      <c r="F43" s="1104"/>
      <c r="G43" s="390"/>
      <c r="H43" s="390"/>
      <c r="I43" s="390"/>
      <c r="J43" s="390"/>
      <c r="K43" s="216">
        <f t="shared" si="0"/>
        <v>0</v>
      </c>
      <c r="L43" s="39"/>
      <c r="N43" s="818"/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781"/>
      <c r="Z43" s="781"/>
      <c r="AA43" s="819"/>
    </row>
    <row r="44" spans="1:27" ht="23.1" customHeight="1">
      <c r="A44" s="903"/>
      <c r="C44" s="47"/>
      <c r="D44" s="641" t="s">
        <v>750</v>
      </c>
      <c r="E44" s="1105"/>
      <c r="F44" s="1106"/>
      <c r="G44" s="638"/>
      <c r="H44" s="638"/>
      <c r="I44" s="638"/>
      <c r="J44" s="638"/>
      <c r="K44" s="216">
        <f t="shared" si="0"/>
        <v>0</v>
      </c>
      <c r="L44" s="39"/>
      <c r="N44" s="818"/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781"/>
      <c r="Z44" s="781"/>
      <c r="AA44" s="819"/>
    </row>
    <row r="45" spans="1:27" ht="23.1" customHeight="1" thickBot="1">
      <c r="A45" s="903"/>
      <c r="C45" s="47"/>
      <c r="D45" s="1241" t="s">
        <v>751</v>
      </c>
      <c r="E45" s="1242"/>
      <c r="F45" s="142">
        <f t="shared" ref="F45:K45" si="1">SUM(F39:F44)</f>
        <v>14</v>
      </c>
      <c r="G45" s="142">
        <f t="shared" si="1"/>
        <v>284099.03999999998</v>
      </c>
      <c r="H45" s="142">
        <f t="shared" si="1"/>
        <v>0</v>
      </c>
      <c r="I45" s="142">
        <f t="shared" si="1"/>
        <v>0</v>
      </c>
      <c r="J45" s="142">
        <f t="shared" si="1"/>
        <v>14582.13</v>
      </c>
      <c r="K45" s="142">
        <f t="shared" si="1"/>
        <v>298681.17000000004</v>
      </c>
      <c r="L45" s="39"/>
      <c r="N45" s="818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1"/>
      <c r="AA45" s="819"/>
    </row>
    <row r="46" spans="1:27" ht="23.1" customHeight="1">
      <c r="A46" s="903"/>
      <c r="C46" s="47"/>
      <c r="D46" s="17"/>
      <c r="E46" s="632"/>
      <c r="F46" s="632"/>
      <c r="G46" s="99"/>
      <c r="H46" s="99"/>
      <c r="I46" s="99"/>
      <c r="J46" s="99"/>
      <c r="K46" s="31"/>
      <c r="L46" s="39"/>
      <c r="N46" s="818"/>
      <c r="O46" s="781"/>
      <c r="P46" s="781"/>
      <c r="Q46" s="781"/>
      <c r="R46" s="781"/>
      <c r="S46" s="781"/>
      <c r="T46" s="781"/>
      <c r="U46" s="781"/>
      <c r="V46" s="781"/>
      <c r="W46" s="781"/>
      <c r="X46" s="781"/>
      <c r="Y46" s="781"/>
      <c r="Z46" s="781"/>
      <c r="AA46" s="819"/>
    </row>
    <row r="47" spans="1:27" ht="23.1" customHeight="1">
      <c r="A47" s="903"/>
      <c r="C47" s="47"/>
      <c r="D47" s="17"/>
      <c r="E47" s="632"/>
      <c r="F47" s="632"/>
      <c r="G47" s="99"/>
      <c r="H47" s="99"/>
      <c r="I47" s="99"/>
      <c r="J47" s="99"/>
      <c r="K47" s="31"/>
      <c r="L47" s="39"/>
      <c r="N47" s="818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1"/>
      <c r="AA47" s="819"/>
    </row>
    <row r="48" spans="1:27" ht="23.1" customHeight="1">
      <c r="A48" s="903"/>
      <c r="C48" s="47"/>
      <c r="D48" s="28" t="s">
        <v>752</v>
      </c>
      <c r="E48" s="632"/>
      <c r="F48" s="632"/>
      <c r="G48" s="99"/>
      <c r="H48" s="99"/>
      <c r="I48" s="99"/>
      <c r="J48" s="99"/>
      <c r="K48" s="31"/>
      <c r="L48" s="39"/>
      <c r="N48" s="818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  <c r="Z48" s="781"/>
      <c r="AA48" s="819"/>
    </row>
    <row r="49" spans="1:27" ht="23.1" customHeight="1">
      <c r="A49" s="903"/>
      <c r="C49" s="47"/>
      <c r="D49" s="28"/>
      <c r="E49" s="632"/>
      <c r="F49" s="632"/>
      <c r="G49" s="99"/>
      <c r="H49" s="99"/>
      <c r="I49" s="99"/>
      <c r="J49" s="99"/>
      <c r="K49" s="31"/>
      <c r="L49" s="39"/>
      <c r="N49" s="818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1"/>
      <c r="AA49" s="819"/>
    </row>
    <row r="50" spans="1:27" ht="23.1" customHeight="1">
      <c r="A50" s="903"/>
      <c r="C50" s="47"/>
      <c r="D50" s="1184" t="s">
        <v>680</v>
      </c>
      <c r="E50" s="1185"/>
      <c r="F50" s="1243"/>
      <c r="G50" s="141" t="s">
        <v>612</v>
      </c>
      <c r="H50" s="99"/>
      <c r="I50" s="99"/>
      <c r="J50" s="99"/>
      <c r="K50" s="31"/>
      <c r="L50" s="39"/>
      <c r="N50" s="818"/>
      <c r="O50" s="781"/>
      <c r="P50" s="781"/>
      <c r="Q50" s="781"/>
      <c r="R50" s="781"/>
      <c r="S50" s="781"/>
      <c r="T50" s="781"/>
      <c r="U50" s="781"/>
      <c r="V50" s="781"/>
      <c r="W50" s="781"/>
      <c r="X50" s="781"/>
      <c r="Y50" s="781"/>
      <c r="Z50" s="781"/>
      <c r="AA50" s="819"/>
    </row>
    <row r="51" spans="1:27" s="80" customFormat="1" ht="23.1" customHeight="1">
      <c r="A51" s="903"/>
      <c r="B51" s="970"/>
      <c r="C51" s="935"/>
      <c r="D51" s="1107" t="s">
        <v>753</v>
      </c>
      <c r="E51" s="1108"/>
      <c r="F51" s="1108"/>
      <c r="G51" s="1109">
        <v>4300</v>
      </c>
      <c r="H51" s="99"/>
      <c r="I51" s="99"/>
      <c r="J51" s="99"/>
      <c r="K51" s="57"/>
      <c r="L51" s="936"/>
      <c r="M51" s="970"/>
      <c r="N51" s="818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781"/>
      <c r="Z51" s="781"/>
      <c r="AA51" s="819"/>
    </row>
    <row r="52" spans="1:27" s="80" customFormat="1" ht="23.1" customHeight="1">
      <c r="A52" s="903"/>
      <c r="B52" s="970"/>
      <c r="C52" s="935"/>
      <c r="D52" s="1107" t="s">
        <v>754</v>
      </c>
      <c r="E52" s="1108"/>
      <c r="F52" s="1108"/>
      <c r="G52" s="1109">
        <v>94299.14</v>
      </c>
      <c r="H52" s="99"/>
      <c r="I52" s="99"/>
      <c r="J52" s="99"/>
      <c r="K52" s="57"/>
      <c r="L52" s="936"/>
      <c r="M52" s="970"/>
      <c r="N52" s="818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819"/>
    </row>
    <row r="53" spans="1:27" ht="23.1" customHeight="1" thickBot="1">
      <c r="A53" s="903"/>
      <c r="C53" s="47"/>
      <c r="D53" s="1241" t="s">
        <v>751</v>
      </c>
      <c r="E53" s="1244"/>
      <c r="F53" s="143"/>
      <c r="G53" s="142">
        <f>SUM(G51:G52)</f>
        <v>98599.14</v>
      </c>
      <c r="H53" s="99"/>
      <c r="I53" s="99"/>
      <c r="J53" s="99"/>
      <c r="K53" s="57"/>
      <c r="L53" s="39"/>
      <c r="N53" s="818"/>
      <c r="O53" s="781"/>
      <c r="P53" s="781"/>
      <c r="Q53" s="781"/>
      <c r="R53" s="781"/>
      <c r="S53" s="781"/>
      <c r="T53" s="781"/>
      <c r="U53" s="781"/>
      <c r="V53" s="781"/>
      <c r="W53" s="781"/>
      <c r="X53" s="781"/>
      <c r="Y53" s="781"/>
      <c r="Z53" s="781"/>
      <c r="AA53" s="819"/>
    </row>
    <row r="54" spans="1:27" ht="23.1" customHeight="1">
      <c r="A54" s="903"/>
      <c r="C54" s="47"/>
      <c r="D54" s="17"/>
      <c r="E54" s="632"/>
      <c r="F54" s="632"/>
      <c r="G54" s="99"/>
      <c r="H54" s="99"/>
      <c r="I54" s="99"/>
      <c r="J54" s="99"/>
      <c r="K54" s="57"/>
      <c r="L54" s="39"/>
      <c r="N54" s="818"/>
      <c r="O54" s="781"/>
      <c r="P54" s="781"/>
      <c r="Q54" s="781"/>
      <c r="R54" s="781"/>
      <c r="S54" s="781"/>
      <c r="T54" s="781"/>
      <c r="U54" s="781"/>
      <c r="V54" s="781"/>
      <c r="W54" s="781"/>
      <c r="X54" s="781"/>
      <c r="Y54" s="781"/>
      <c r="Z54" s="781"/>
      <c r="AA54" s="819"/>
    </row>
    <row r="55" spans="1:27" ht="23.1" customHeight="1">
      <c r="A55" s="903"/>
      <c r="C55" s="47"/>
      <c r="D55" s="17"/>
      <c r="E55" s="632"/>
      <c r="F55" s="632"/>
      <c r="G55" s="99"/>
      <c r="H55" s="99"/>
      <c r="I55" s="99"/>
      <c r="J55" s="99"/>
      <c r="K55" s="57"/>
      <c r="L55" s="39"/>
      <c r="N55" s="818"/>
      <c r="O55" s="781"/>
      <c r="P55" s="781"/>
      <c r="Q55" s="781"/>
      <c r="R55" s="781"/>
      <c r="S55" s="781"/>
      <c r="T55" s="781"/>
      <c r="U55" s="781"/>
      <c r="V55" s="781"/>
      <c r="W55" s="781"/>
      <c r="X55" s="781"/>
      <c r="Y55" s="781"/>
      <c r="Z55" s="781"/>
      <c r="AA55" s="819"/>
    </row>
    <row r="56" spans="1:27" ht="23.1" customHeight="1">
      <c r="A56" s="903"/>
      <c r="C56" s="47"/>
      <c r="D56" s="28" t="s">
        <v>755</v>
      </c>
      <c r="E56" s="632"/>
      <c r="F56" s="632"/>
      <c r="G56" s="99"/>
      <c r="H56" s="99"/>
      <c r="I56" s="99"/>
      <c r="J56" s="99"/>
      <c r="K56" s="31"/>
      <c r="L56" s="39"/>
      <c r="N56" s="818"/>
      <c r="O56" s="781"/>
      <c r="P56" s="781"/>
      <c r="Q56" s="781"/>
      <c r="R56" s="781"/>
      <c r="S56" s="781"/>
      <c r="T56" s="781"/>
      <c r="U56" s="781"/>
      <c r="V56" s="781"/>
      <c r="W56" s="781"/>
      <c r="X56" s="781"/>
      <c r="Y56" s="781"/>
      <c r="Z56" s="781"/>
      <c r="AA56" s="819"/>
    </row>
    <row r="57" spans="1:27" ht="23.1" customHeight="1">
      <c r="A57" s="903"/>
      <c r="C57" s="47"/>
      <c r="D57" s="1110"/>
      <c r="E57" s="1111"/>
      <c r="F57" s="1111"/>
      <c r="G57" s="1111"/>
      <c r="H57" s="1111"/>
      <c r="I57" s="1111"/>
      <c r="J57" s="1111"/>
      <c r="K57" s="1112"/>
      <c r="L57" s="39"/>
      <c r="N57" s="818"/>
      <c r="O57" s="781"/>
      <c r="P57" s="781"/>
      <c r="Q57" s="781"/>
      <c r="R57" s="781"/>
      <c r="S57" s="781"/>
      <c r="T57" s="781"/>
      <c r="U57" s="781"/>
      <c r="V57" s="781"/>
      <c r="W57" s="781"/>
      <c r="X57" s="781"/>
      <c r="Y57" s="781"/>
      <c r="Z57" s="781"/>
      <c r="AA57" s="819"/>
    </row>
    <row r="58" spans="1:27" ht="23.1" customHeight="1">
      <c r="A58" s="903"/>
      <c r="C58" s="47"/>
      <c r="D58" s="1113"/>
      <c r="E58" s="1114"/>
      <c r="F58" s="1114"/>
      <c r="G58" s="1114"/>
      <c r="H58" s="1114"/>
      <c r="I58" s="1114"/>
      <c r="J58" s="1114"/>
      <c r="K58" s="1115"/>
      <c r="L58" s="39"/>
      <c r="N58" s="818"/>
      <c r="O58" s="781"/>
      <c r="P58" s="781"/>
      <c r="Q58" s="781"/>
      <c r="R58" s="781"/>
      <c r="S58" s="781"/>
      <c r="T58" s="781"/>
      <c r="U58" s="781"/>
      <c r="V58" s="781"/>
      <c r="W58" s="781"/>
      <c r="X58" s="781"/>
      <c r="Y58" s="781"/>
      <c r="Z58" s="781"/>
      <c r="AA58" s="819"/>
    </row>
    <row r="59" spans="1:27" ht="23.1" customHeight="1">
      <c r="A59" s="903"/>
      <c r="C59" s="47"/>
      <c r="D59" s="1113"/>
      <c r="E59" s="1114"/>
      <c r="F59" s="1114"/>
      <c r="G59" s="1114"/>
      <c r="H59" s="1114"/>
      <c r="I59" s="1114"/>
      <c r="J59" s="1114"/>
      <c r="K59" s="1115"/>
      <c r="L59" s="39"/>
      <c r="N59" s="818"/>
      <c r="O59" s="781"/>
      <c r="P59" s="781"/>
      <c r="Q59" s="781"/>
      <c r="R59" s="781"/>
      <c r="S59" s="781"/>
      <c r="T59" s="781"/>
      <c r="U59" s="781"/>
      <c r="V59" s="781"/>
      <c r="W59" s="781"/>
      <c r="X59" s="781"/>
      <c r="Y59" s="781"/>
      <c r="Z59" s="781"/>
      <c r="AA59" s="819"/>
    </row>
    <row r="60" spans="1:27" ht="23.1" customHeight="1">
      <c r="A60" s="903"/>
      <c r="C60" s="47"/>
      <c r="D60" s="1116"/>
      <c r="E60" s="1117"/>
      <c r="F60" s="1117"/>
      <c r="G60" s="1117"/>
      <c r="H60" s="1117"/>
      <c r="I60" s="1117"/>
      <c r="J60" s="1117"/>
      <c r="K60" s="1118"/>
      <c r="L60" s="39"/>
      <c r="N60" s="818"/>
      <c r="O60" s="781"/>
      <c r="P60" s="781"/>
      <c r="Q60" s="781"/>
      <c r="R60" s="781"/>
      <c r="S60" s="781"/>
      <c r="T60" s="781"/>
      <c r="U60" s="781"/>
      <c r="V60" s="781"/>
      <c r="W60" s="781"/>
      <c r="X60" s="781"/>
      <c r="Y60" s="781"/>
      <c r="Z60" s="781"/>
      <c r="AA60" s="819"/>
    </row>
    <row r="61" spans="1:27" ht="23.1" customHeight="1">
      <c r="A61" s="975"/>
      <c r="C61" s="47"/>
      <c r="D61" s="1119"/>
      <c r="E61" s="1119"/>
      <c r="F61" s="1119"/>
      <c r="G61" s="1119"/>
      <c r="H61" s="1119"/>
      <c r="I61" s="1119"/>
      <c r="J61" s="1119"/>
      <c r="K61" s="1119"/>
      <c r="L61" s="39"/>
      <c r="N61" s="818"/>
      <c r="O61" s="781"/>
      <c r="P61" s="781"/>
      <c r="Q61" s="781"/>
      <c r="R61" s="781"/>
      <c r="S61" s="781"/>
      <c r="T61" s="781"/>
      <c r="U61" s="781"/>
      <c r="V61" s="781"/>
      <c r="W61" s="781"/>
      <c r="X61" s="781"/>
      <c r="Y61" s="781"/>
      <c r="Z61" s="781"/>
      <c r="AA61" s="819"/>
    </row>
    <row r="62" spans="1:27" ht="23.1" customHeight="1">
      <c r="A62" s="975"/>
      <c r="C62" s="47"/>
      <c r="D62" s="345" t="s">
        <v>579</v>
      </c>
      <c r="E62" s="1119"/>
      <c r="F62" s="1119"/>
      <c r="G62" s="1119"/>
      <c r="H62" s="1119"/>
      <c r="I62" s="1119"/>
      <c r="J62" s="1119"/>
      <c r="K62" s="1119"/>
      <c r="L62" s="39"/>
      <c r="N62" s="818"/>
      <c r="O62" s="781"/>
      <c r="P62" s="781"/>
      <c r="Q62" s="781"/>
      <c r="R62" s="781"/>
      <c r="S62" s="781"/>
      <c r="T62" s="781"/>
      <c r="U62" s="781"/>
      <c r="V62" s="781"/>
      <c r="W62" s="781"/>
      <c r="X62" s="781"/>
      <c r="Y62" s="781"/>
      <c r="Z62" s="781"/>
      <c r="AA62" s="819"/>
    </row>
    <row r="63" spans="1:27" ht="23.1" customHeight="1">
      <c r="A63" s="975"/>
      <c r="C63" s="47"/>
      <c r="D63" s="346" t="s">
        <v>756</v>
      </c>
      <c r="E63" s="1119"/>
      <c r="F63" s="1119"/>
      <c r="G63" s="1119"/>
      <c r="H63" s="1119"/>
      <c r="I63" s="1119"/>
      <c r="J63" s="1119"/>
      <c r="K63" s="1119"/>
      <c r="L63" s="39"/>
      <c r="N63" s="818"/>
      <c r="O63" s="781"/>
      <c r="P63" s="781"/>
      <c r="Q63" s="781"/>
      <c r="R63" s="781"/>
      <c r="S63" s="781"/>
      <c r="T63" s="781"/>
      <c r="U63" s="781"/>
      <c r="V63" s="781"/>
      <c r="W63" s="781"/>
      <c r="X63" s="781"/>
      <c r="Y63" s="781"/>
      <c r="Z63" s="781"/>
      <c r="AA63" s="819"/>
    </row>
    <row r="64" spans="1:27" ht="23.1" customHeight="1">
      <c r="A64" s="975"/>
      <c r="C64" s="47"/>
      <c r="D64" s="1119"/>
      <c r="E64" s="1119"/>
      <c r="F64" s="1119"/>
      <c r="G64" s="1119"/>
      <c r="H64" s="1119"/>
      <c r="I64" s="1119"/>
      <c r="J64" s="1119"/>
      <c r="K64" s="1119"/>
      <c r="L64" s="39"/>
      <c r="N64" s="818"/>
      <c r="O64" s="781"/>
      <c r="P64" s="781"/>
      <c r="Q64" s="781"/>
      <c r="R64" s="781"/>
      <c r="S64" s="781"/>
      <c r="T64" s="781"/>
      <c r="U64" s="781"/>
      <c r="V64" s="781"/>
      <c r="W64" s="781"/>
      <c r="X64" s="781"/>
      <c r="Y64" s="781"/>
      <c r="Z64" s="781"/>
      <c r="AA64" s="819"/>
    </row>
    <row r="65" spans="1:27" ht="23.1" customHeight="1" thickBot="1">
      <c r="A65" s="975"/>
      <c r="C65" s="50"/>
      <c r="D65" s="26"/>
      <c r="E65" s="1148"/>
      <c r="F65" s="1148"/>
      <c r="G65" s="26"/>
      <c r="H65" s="26"/>
      <c r="I65" s="26"/>
      <c r="J65" s="26"/>
      <c r="K65" s="51"/>
      <c r="L65" s="52"/>
      <c r="N65" s="820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  <c r="AA65" s="822"/>
    </row>
    <row r="66" spans="1:27" ht="23.1" customHeight="1">
      <c r="A66" s="24"/>
      <c r="M66" s="32" t="s">
        <v>140</v>
      </c>
    </row>
    <row r="67" spans="1:27" ht="12.75">
      <c r="A67" s="24"/>
      <c r="E67" s="53" t="s">
        <v>39</v>
      </c>
      <c r="K67" s="30" t="s">
        <v>757</v>
      </c>
    </row>
    <row r="68" spans="1:27" ht="12.75">
      <c r="A68" s="24"/>
      <c r="E68" s="53" t="s">
        <v>41</v>
      </c>
    </row>
    <row r="69" spans="1:27" ht="12.75">
      <c r="A69" s="24"/>
      <c r="E69" s="53" t="s">
        <v>42</v>
      </c>
    </row>
    <row r="70" spans="1:27" ht="15">
      <c r="A70" s="369"/>
      <c r="E70" s="53" t="s">
        <v>43</v>
      </c>
    </row>
    <row r="71" spans="1:27" ht="15">
      <c r="A71" s="369"/>
      <c r="E71" s="53" t="s">
        <v>44</v>
      </c>
    </row>
    <row r="72" spans="1:27" ht="23.1" customHeight="1">
      <c r="A72" s="369"/>
    </row>
    <row r="73" spans="1:27" ht="23.1" customHeight="1">
      <c r="A73" s="369"/>
    </row>
    <row r="74" spans="1:27" ht="23.1" customHeight="1">
      <c r="A74" s="369"/>
    </row>
    <row r="75" spans="1:27" ht="23.1" customHeight="1">
      <c r="A75" s="369"/>
    </row>
    <row r="76" spans="1:27" ht="23.1" customHeight="1">
      <c r="A76" s="369"/>
    </row>
  </sheetData>
  <sheetProtection password="C494" sheet="1" objects="1" scenarios="1"/>
  <mergeCells count="10">
    <mergeCell ref="K6:K7"/>
    <mergeCell ref="D12:E12"/>
    <mergeCell ref="D45:E45"/>
    <mergeCell ref="E65:F65"/>
    <mergeCell ref="F9:K9"/>
    <mergeCell ref="D37:E37"/>
    <mergeCell ref="D38:E38"/>
    <mergeCell ref="G36:K36"/>
    <mergeCell ref="D50:F50"/>
    <mergeCell ref="D53:E53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2:Y169"/>
  <sheetViews>
    <sheetView zoomScale="70" zoomScaleNormal="70" workbookViewId="0">
      <selection activeCell="G17" sqref="G17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54.44140625" style="32" customWidth="1"/>
    <col min="6" max="6" width="24.44140625" style="32" customWidth="1"/>
    <col min="7" max="7" width="24.44140625" style="33" customWidth="1"/>
    <col min="8" max="8" width="27.109375" style="33" customWidth="1"/>
    <col min="9" max="9" width="25.88671875" style="33" customWidth="1"/>
    <col min="10" max="10" width="3.33203125" style="32" customWidth="1"/>
    <col min="11" max="16384" width="10.6640625" style="32"/>
  </cols>
  <sheetData>
    <row r="2" spans="1:25" ht="23.1" customHeight="1">
      <c r="A2" s="369"/>
      <c r="E2" s="347" t="str">
        <f>_GENERAL!D2</f>
        <v>Área de Presidencia, Hacienda y Modernización</v>
      </c>
      <c r="F2" s="347"/>
    </row>
    <row r="3" spans="1:25" ht="23.1" customHeight="1">
      <c r="A3" s="369"/>
      <c r="E3" s="347" t="str">
        <f>_GENERAL!D3</f>
        <v>Dirección Insular de Hacienda</v>
      </c>
      <c r="F3" s="347"/>
    </row>
    <row r="4" spans="1:25" ht="23.1" customHeight="1" thickBot="1">
      <c r="A4" s="369"/>
      <c r="B4" s="32" t="s">
        <v>100</v>
      </c>
    </row>
    <row r="5" spans="1:25" ht="9" customHeight="1">
      <c r="A5" s="975"/>
      <c r="C5" s="34"/>
      <c r="D5" s="35"/>
      <c r="E5" s="35"/>
      <c r="F5" s="35"/>
      <c r="G5" s="36"/>
      <c r="H5" s="36"/>
      <c r="I5" s="36"/>
      <c r="J5" s="37"/>
      <c r="L5" s="757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</row>
    <row r="6" spans="1:25" ht="30" customHeight="1">
      <c r="A6" s="975"/>
      <c r="C6" s="38"/>
      <c r="D6" s="29" t="s">
        <v>2</v>
      </c>
      <c r="I6" s="1140">
        <f>ejercicio</f>
        <v>2022</v>
      </c>
      <c r="J6" s="39"/>
      <c r="L6" s="174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7"/>
    </row>
    <row r="7" spans="1:25" ht="30" customHeight="1">
      <c r="A7" s="975"/>
      <c r="C7" s="38"/>
      <c r="D7" s="29" t="s">
        <v>3</v>
      </c>
      <c r="I7" s="1140"/>
      <c r="J7" s="39"/>
      <c r="L7" s="178"/>
      <c r="M7" s="175" t="s">
        <v>101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0"/>
    </row>
    <row r="8" spans="1:25" ht="30" customHeight="1">
      <c r="A8" s="975"/>
      <c r="C8" s="38"/>
      <c r="D8" s="40"/>
      <c r="I8" s="41"/>
      <c r="J8" s="39"/>
      <c r="L8" s="818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819"/>
    </row>
    <row r="9" spans="1:25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936"/>
      <c r="K9" s="970"/>
      <c r="L9" s="818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819"/>
    </row>
    <row r="10" spans="1:25" ht="6.95" customHeight="1">
      <c r="A10" s="975"/>
      <c r="C10" s="38"/>
      <c r="J10" s="39"/>
      <c r="L10" s="818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819"/>
    </row>
    <row r="11" spans="1:25" s="46" customFormat="1" ht="30" customHeight="1">
      <c r="A11" s="901"/>
      <c r="C11" s="42"/>
      <c r="D11" s="43" t="s">
        <v>758</v>
      </c>
      <c r="E11" s="43"/>
      <c r="F11" s="43"/>
      <c r="G11" s="44"/>
      <c r="H11" s="44"/>
      <c r="I11" s="44"/>
      <c r="J11" s="45"/>
      <c r="L11" s="818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819"/>
    </row>
    <row r="12" spans="1:25" s="46" customFormat="1" ht="30" customHeight="1">
      <c r="A12" s="901"/>
      <c r="C12" s="42"/>
      <c r="D12" s="1160"/>
      <c r="E12" s="1160"/>
      <c r="F12" s="604"/>
      <c r="G12" s="31"/>
      <c r="H12" s="31"/>
      <c r="I12" s="31"/>
      <c r="J12" s="45"/>
      <c r="L12" s="818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819"/>
    </row>
    <row r="13" spans="1:25" ht="29.1" customHeight="1">
      <c r="A13" s="901"/>
      <c r="C13" s="47"/>
      <c r="D13" s="1245" t="s">
        <v>759</v>
      </c>
      <c r="E13" s="1246"/>
      <c r="F13" s="1246"/>
      <c r="G13" s="1246"/>
      <c r="H13" s="1246"/>
      <c r="I13" s="1247"/>
      <c r="J13" s="39"/>
      <c r="L13" s="818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819"/>
    </row>
    <row r="14" spans="1:25" ht="9" customHeight="1">
      <c r="A14" s="902"/>
      <c r="C14" s="47"/>
      <c r="D14" s="604"/>
      <c r="E14" s="604"/>
      <c r="F14" s="604"/>
      <c r="G14" s="31"/>
      <c r="H14" s="31"/>
      <c r="I14" s="31"/>
      <c r="J14" s="39"/>
      <c r="L14" s="818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819"/>
    </row>
    <row r="15" spans="1:25" s="98" customFormat="1" ht="24" customHeight="1">
      <c r="A15" s="903"/>
      <c r="B15" s="632"/>
      <c r="C15" s="916"/>
      <c r="D15" s="1184" t="s">
        <v>530</v>
      </c>
      <c r="E15" s="1186"/>
      <c r="F15" s="150" t="s">
        <v>760</v>
      </c>
      <c r="G15" s="141" t="s">
        <v>761</v>
      </c>
      <c r="H15" s="141" t="s">
        <v>762</v>
      </c>
      <c r="I15" s="129" t="s">
        <v>763</v>
      </c>
      <c r="J15" s="917"/>
      <c r="K15" s="632"/>
      <c r="L15" s="818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819"/>
    </row>
    <row r="16" spans="1:25" s="17" customFormat="1" ht="23.1" customHeight="1">
      <c r="A16" s="903"/>
      <c r="C16" s="47"/>
      <c r="D16" s="1248" t="s">
        <v>764</v>
      </c>
      <c r="E16" s="1249"/>
      <c r="F16" s="899"/>
      <c r="G16" s="141"/>
      <c r="H16" s="141"/>
      <c r="I16" s="129"/>
      <c r="J16" s="48"/>
      <c r="L16" s="818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819"/>
    </row>
    <row r="17" spans="1:25" s="17" customFormat="1" ht="23.1" customHeight="1">
      <c r="A17" s="903"/>
      <c r="C17" s="47"/>
      <c r="D17" s="918" t="s">
        <v>765</v>
      </c>
      <c r="E17" s="919"/>
      <c r="F17" s="920" t="s">
        <v>8</v>
      </c>
      <c r="G17" s="921"/>
      <c r="H17" s="922"/>
      <c r="I17" s="923"/>
      <c r="J17" s="924"/>
      <c r="L17" s="818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819"/>
    </row>
    <row r="18" spans="1:25" s="17" customFormat="1" ht="23.1" customHeight="1">
      <c r="A18" s="903"/>
      <c r="C18" s="47"/>
      <c r="D18" s="925" t="s">
        <v>766</v>
      </c>
      <c r="E18" s="926"/>
      <c r="F18" s="920" t="s">
        <v>8</v>
      </c>
      <c r="G18" s="921"/>
      <c r="H18" s="927"/>
      <c r="I18" s="928"/>
      <c r="J18" s="924"/>
      <c r="L18" s="818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819"/>
    </row>
    <row r="19" spans="1:25" s="17" customFormat="1" ht="23.1" customHeight="1">
      <c r="A19" s="903"/>
      <c r="C19" s="47"/>
      <c r="D19" s="929" t="s">
        <v>767</v>
      </c>
      <c r="E19" s="926"/>
      <c r="F19" s="920" t="s">
        <v>8</v>
      </c>
      <c r="G19" s="921"/>
      <c r="H19" s="927"/>
      <c r="I19" s="928"/>
      <c r="J19" s="48"/>
      <c r="L19" s="818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819"/>
    </row>
    <row r="20" spans="1:25" s="17" customFormat="1" ht="23.1" customHeight="1">
      <c r="A20" s="903"/>
      <c r="C20" s="47"/>
      <c r="D20" s="929" t="s">
        <v>768</v>
      </c>
      <c r="E20" s="926"/>
      <c r="F20" s="920" t="s">
        <v>8</v>
      </c>
      <c r="G20" s="921"/>
      <c r="H20" s="927"/>
      <c r="I20" s="928"/>
      <c r="J20" s="48"/>
      <c r="L20" s="818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819"/>
    </row>
    <row r="21" spans="1:25" s="17" customFormat="1" ht="23.1" customHeight="1">
      <c r="A21" s="903"/>
      <c r="C21" s="47"/>
      <c r="D21" s="930" t="s">
        <v>769</v>
      </c>
      <c r="E21" s="926"/>
      <c r="F21" s="920" t="s">
        <v>8</v>
      </c>
      <c r="G21" s="921"/>
      <c r="H21" s="927"/>
      <c r="I21" s="928"/>
      <c r="J21" s="48"/>
      <c r="L21" s="818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819"/>
    </row>
    <row r="22" spans="1:25" s="17" customFormat="1" ht="23.1" customHeight="1">
      <c r="A22" s="903"/>
      <c r="C22" s="47"/>
      <c r="D22" s="930" t="s">
        <v>770</v>
      </c>
      <c r="E22" s="926"/>
      <c r="F22" s="920" t="s">
        <v>8</v>
      </c>
      <c r="G22" s="921"/>
      <c r="H22" s="927"/>
      <c r="I22" s="928"/>
      <c r="J22" s="48"/>
      <c r="L22" s="818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819"/>
    </row>
    <row r="23" spans="1:25" s="17" customFormat="1" ht="23.1" customHeight="1">
      <c r="A23" s="903"/>
      <c r="C23" s="47"/>
      <c r="D23" s="930" t="s">
        <v>771</v>
      </c>
      <c r="E23" s="926"/>
      <c r="F23" s="920" t="s">
        <v>9</v>
      </c>
      <c r="G23" s="921"/>
      <c r="H23" s="927"/>
      <c r="I23" s="928"/>
      <c r="J23" s="48"/>
      <c r="L23" s="818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819"/>
    </row>
    <row r="24" spans="1:25" s="17" customFormat="1" ht="23.1" customHeight="1">
      <c r="A24" s="903"/>
      <c r="C24" s="47"/>
      <c r="D24" s="930" t="s">
        <v>772</v>
      </c>
      <c r="E24" s="926"/>
      <c r="F24" s="920" t="s">
        <v>8</v>
      </c>
      <c r="G24" s="921"/>
      <c r="H24" s="927"/>
      <c r="I24" s="928"/>
      <c r="J24" s="48"/>
      <c r="L24" s="818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819"/>
    </row>
    <row r="25" spans="1:25" s="17" customFormat="1" ht="23.1" customHeight="1">
      <c r="A25" s="903"/>
      <c r="C25" s="47"/>
      <c r="D25" s="930" t="s">
        <v>773</v>
      </c>
      <c r="E25" s="926"/>
      <c r="F25" s="920" t="s">
        <v>9</v>
      </c>
      <c r="G25" s="921"/>
      <c r="H25" s="927"/>
      <c r="I25" s="928"/>
      <c r="J25" s="48"/>
      <c r="L25" s="818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819"/>
    </row>
    <row r="26" spans="1:25" s="17" customFormat="1" ht="23.1" customHeight="1">
      <c r="A26" s="903"/>
      <c r="C26" s="47"/>
      <c r="D26" s="930" t="s">
        <v>774</v>
      </c>
      <c r="E26" s="926"/>
      <c r="F26" s="920" t="s">
        <v>9</v>
      </c>
      <c r="G26" s="921"/>
      <c r="H26" s="927"/>
      <c r="I26" s="928"/>
      <c r="J26" s="48"/>
      <c r="L26" s="818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819"/>
    </row>
    <row r="27" spans="1:25" s="17" customFormat="1" ht="23.1" customHeight="1">
      <c r="A27" s="903"/>
      <c r="C27" s="47"/>
      <c r="D27" s="930" t="s">
        <v>775</v>
      </c>
      <c r="E27" s="926"/>
      <c r="F27" s="920" t="s">
        <v>9</v>
      </c>
      <c r="G27" s="921"/>
      <c r="H27" s="927"/>
      <c r="I27" s="928"/>
      <c r="J27" s="48"/>
      <c r="L27" s="818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819"/>
    </row>
    <row r="28" spans="1:25" s="17" customFormat="1" ht="23.1" customHeight="1">
      <c r="A28" s="903"/>
      <c r="C28" s="47"/>
      <c r="D28" s="930" t="s">
        <v>776</v>
      </c>
      <c r="E28" s="926"/>
      <c r="F28" s="920" t="s">
        <v>9</v>
      </c>
      <c r="G28" s="921"/>
      <c r="H28" s="927"/>
      <c r="I28" s="928"/>
      <c r="J28" s="48"/>
      <c r="L28" s="818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819"/>
    </row>
    <row r="29" spans="1:25" s="17" customFormat="1" ht="23.1" customHeight="1">
      <c r="A29" s="903"/>
      <c r="C29" s="47"/>
      <c r="D29" s="930" t="s">
        <v>777</v>
      </c>
      <c r="E29" s="926"/>
      <c r="F29" s="920" t="s">
        <v>9</v>
      </c>
      <c r="G29" s="921"/>
      <c r="H29" s="927"/>
      <c r="I29" s="928"/>
      <c r="J29" s="48"/>
      <c r="L29" s="818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819"/>
    </row>
    <row r="30" spans="1:25" s="17" customFormat="1" ht="23.1" customHeight="1">
      <c r="A30" s="903"/>
      <c r="C30" s="47"/>
      <c r="D30" s="930" t="s">
        <v>778</v>
      </c>
      <c r="E30" s="926"/>
      <c r="F30" s="920" t="s">
        <v>9</v>
      </c>
      <c r="G30" s="921"/>
      <c r="H30" s="927"/>
      <c r="I30" s="928"/>
      <c r="J30" s="48"/>
      <c r="L30" s="818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819"/>
    </row>
    <row r="31" spans="1:25" s="17" customFormat="1" ht="23.1" customHeight="1">
      <c r="A31" s="903"/>
      <c r="C31" s="47"/>
      <c r="D31" s="930" t="s">
        <v>779</v>
      </c>
      <c r="E31" s="926"/>
      <c r="F31" s="920" t="s">
        <v>8</v>
      </c>
      <c r="G31" s="921"/>
      <c r="H31" s="927"/>
      <c r="I31" s="928"/>
      <c r="J31" s="48"/>
      <c r="L31" s="818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819"/>
    </row>
    <row r="32" spans="1:25" s="17" customFormat="1" ht="23.1" customHeight="1">
      <c r="A32" s="903"/>
      <c r="C32" s="47"/>
      <c r="D32" s="930" t="s">
        <v>780</v>
      </c>
      <c r="E32" s="926"/>
      <c r="F32" s="920" t="s">
        <v>8</v>
      </c>
      <c r="G32" s="921"/>
      <c r="H32" s="927"/>
      <c r="I32" s="928"/>
      <c r="J32" s="48"/>
      <c r="L32" s="818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819"/>
    </row>
    <row r="33" spans="1:25" s="17" customFormat="1" ht="23.1" customHeight="1">
      <c r="A33" s="903"/>
      <c r="C33" s="47"/>
      <c r="D33" s="930" t="s">
        <v>781</v>
      </c>
      <c r="E33" s="926"/>
      <c r="F33" s="920" t="s">
        <v>8</v>
      </c>
      <c r="G33" s="921"/>
      <c r="H33" s="927"/>
      <c r="I33" s="928"/>
      <c r="J33" s="48"/>
      <c r="L33" s="818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819"/>
    </row>
    <row r="34" spans="1:25" s="17" customFormat="1" ht="23.1" customHeight="1">
      <c r="A34" s="903"/>
      <c r="C34" s="47"/>
      <c r="D34" s="930" t="s">
        <v>782</v>
      </c>
      <c r="E34" s="926"/>
      <c r="F34" s="920" t="s">
        <v>8</v>
      </c>
      <c r="G34" s="921"/>
      <c r="H34" s="927"/>
      <c r="I34" s="928"/>
      <c r="J34" s="48"/>
      <c r="L34" s="818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819"/>
    </row>
    <row r="35" spans="1:25" s="17" customFormat="1" ht="23.1" customHeight="1">
      <c r="A35" s="903"/>
      <c r="C35" s="47"/>
      <c r="D35" s="930" t="s">
        <v>783</v>
      </c>
      <c r="E35" s="926"/>
      <c r="F35" s="920" t="s">
        <v>8</v>
      </c>
      <c r="G35" s="921"/>
      <c r="H35" s="927"/>
      <c r="I35" s="928"/>
      <c r="J35" s="48"/>
      <c r="L35" s="818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819"/>
    </row>
    <row r="36" spans="1:25" s="17" customFormat="1" ht="23.1" customHeight="1">
      <c r="A36" s="903"/>
      <c r="C36" s="47"/>
      <c r="D36" s="930" t="s">
        <v>784</v>
      </c>
      <c r="E36" s="926"/>
      <c r="F36" s="920" t="s">
        <v>8</v>
      </c>
      <c r="G36" s="921"/>
      <c r="H36" s="927"/>
      <c r="I36" s="928"/>
      <c r="J36" s="48"/>
      <c r="L36" s="818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819"/>
    </row>
    <row r="37" spans="1:25" s="17" customFormat="1" ht="23.1" customHeight="1">
      <c r="A37" s="903"/>
      <c r="C37" s="47"/>
      <c r="D37" s="1248" t="s">
        <v>785</v>
      </c>
      <c r="E37" s="1249"/>
      <c r="F37" s="899"/>
      <c r="G37" s="931"/>
      <c r="H37" s="746"/>
      <c r="I37" s="747"/>
      <c r="J37" s="48"/>
      <c r="L37" s="818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819"/>
    </row>
    <row r="38" spans="1:25" s="17" customFormat="1" ht="23.1" customHeight="1">
      <c r="A38" s="903"/>
      <c r="C38" s="47"/>
      <c r="D38" s="930" t="s">
        <v>786</v>
      </c>
      <c r="E38" s="926"/>
      <c r="F38" s="920" t="s">
        <v>9</v>
      </c>
      <c r="G38" s="921"/>
      <c r="H38" s="922"/>
      <c r="I38" s="923"/>
      <c r="J38" s="48"/>
      <c r="L38" s="818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819"/>
    </row>
    <row r="39" spans="1:25" s="17" customFormat="1" ht="23.1" customHeight="1">
      <c r="A39" s="903"/>
      <c r="C39" s="47"/>
      <c r="D39" s="930" t="s">
        <v>787</v>
      </c>
      <c r="E39" s="926"/>
      <c r="F39" s="920" t="s">
        <v>9</v>
      </c>
      <c r="G39" s="921"/>
      <c r="H39" s="927"/>
      <c r="I39" s="928"/>
      <c r="J39" s="48"/>
      <c r="L39" s="818"/>
      <c r="M39" s="781"/>
      <c r="N39" s="781"/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819"/>
    </row>
    <row r="40" spans="1:25" s="17" customFormat="1" ht="23.1" customHeight="1">
      <c r="A40" s="903"/>
      <c r="C40" s="47"/>
      <c r="D40" s="930" t="s">
        <v>788</v>
      </c>
      <c r="E40" s="926"/>
      <c r="F40" s="920" t="s">
        <v>8</v>
      </c>
      <c r="G40" s="921"/>
      <c r="H40" s="927"/>
      <c r="I40" s="928"/>
      <c r="J40" s="48"/>
      <c r="L40" s="818"/>
      <c r="M40" s="781"/>
      <c r="N40" s="781"/>
      <c r="O40" s="781"/>
      <c r="P40" s="781"/>
      <c r="Q40" s="781"/>
      <c r="R40" s="781"/>
      <c r="S40" s="781"/>
      <c r="T40" s="781"/>
      <c r="U40" s="781"/>
      <c r="V40" s="781"/>
      <c r="W40" s="781"/>
      <c r="X40" s="781"/>
      <c r="Y40" s="819"/>
    </row>
    <row r="41" spans="1:25" s="17" customFormat="1" ht="23.1" customHeight="1">
      <c r="A41" s="903"/>
      <c r="C41" s="47"/>
      <c r="D41" s="930" t="s">
        <v>789</v>
      </c>
      <c r="E41" s="926"/>
      <c r="F41" s="920" t="s">
        <v>9</v>
      </c>
      <c r="G41" s="921"/>
      <c r="H41" s="927"/>
      <c r="I41" s="928"/>
      <c r="J41" s="48"/>
      <c r="L41" s="818"/>
      <c r="M41" s="781"/>
      <c r="N41" s="781"/>
      <c r="O41" s="781"/>
      <c r="P41" s="781"/>
      <c r="Q41" s="781"/>
      <c r="R41" s="781"/>
      <c r="S41" s="781"/>
      <c r="T41" s="781"/>
      <c r="U41" s="781"/>
      <c r="V41" s="781"/>
      <c r="W41" s="781"/>
      <c r="X41" s="781"/>
      <c r="Y41" s="819"/>
    </row>
    <row r="42" spans="1:25" s="17" customFormat="1" ht="23.1" customHeight="1">
      <c r="A42" s="903"/>
      <c r="C42" s="47"/>
      <c r="D42" s="930" t="s">
        <v>790</v>
      </c>
      <c r="E42" s="926"/>
      <c r="F42" s="920" t="s">
        <v>8</v>
      </c>
      <c r="G42" s="921"/>
      <c r="H42" s="927"/>
      <c r="I42" s="928"/>
      <c r="J42" s="48"/>
      <c r="L42" s="818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819"/>
    </row>
    <row r="43" spans="1:25" s="17" customFormat="1" ht="23.1" customHeight="1">
      <c r="A43" s="903"/>
      <c r="C43" s="47"/>
      <c r="D43" s="930" t="s">
        <v>791</v>
      </c>
      <c r="E43" s="926"/>
      <c r="F43" s="920" t="s">
        <v>9</v>
      </c>
      <c r="G43" s="921"/>
      <c r="H43" s="927"/>
      <c r="I43" s="928"/>
      <c r="J43" s="48"/>
      <c r="L43" s="818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1"/>
      <c r="X43" s="781"/>
      <c r="Y43" s="819"/>
    </row>
    <row r="44" spans="1:25" s="17" customFormat="1" ht="23.1" customHeight="1">
      <c r="A44" s="903"/>
      <c r="C44" s="47"/>
      <c r="D44" s="930" t="s">
        <v>792</v>
      </c>
      <c r="E44" s="926"/>
      <c r="F44" s="920" t="s">
        <v>8</v>
      </c>
      <c r="G44" s="921"/>
      <c r="H44" s="927"/>
      <c r="I44" s="928"/>
      <c r="J44" s="48"/>
      <c r="L44" s="818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819"/>
    </row>
    <row r="45" spans="1:25" s="17" customFormat="1" ht="23.1" customHeight="1">
      <c r="A45" s="903"/>
      <c r="C45" s="47"/>
      <c r="D45" s="930" t="s">
        <v>793</v>
      </c>
      <c r="E45" s="926"/>
      <c r="F45" s="920" t="s">
        <v>8</v>
      </c>
      <c r="G45" s="921"/>
      <c r="H45" s="927"/>
      <c r="I45" s="928"/>
      <c r="J45" s="48"/>
      <c r="L45" s="818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819"/>
    </row>
    <row r="46" spans="1:25" s="17" customFormat="1" ht="23.1" customHeight="1">
      <c r="A46" s="903"/>
      <c r="C46" s="47"/>
      <c r="D46" s="930" t="s">
        <v>794</v>
      </c>
      <c r="E46" s="926"/>
      <c r="F46" s="920" t="s">
        <v>8</v>
      </c>
      <c r="G46" s="921"/>
      <c r="H46" s="927"/>
      <c r="I46" s="928"/>
      <c r="J46" s="48"/>
      <c r="L46" s="818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  <c r="X46" s="781"/>
      <c r="Y46" s="819"/>
    </row>
    <row r="47" spans="1:25" s="17" customFormat="1" ht="23.1" customHeight="1">
      <c r="A47" s="903"/>
      <c r="C47" s="47"/>
      <c r="D47" s="930" t="s">
        <v>795</v>
      </c>
      <c r="E47" s="926"/>
      <c r="F47" s="920" t="s">
        <v>8</v>
      </c>
      <c r="G47" s="921"/>
      <c r="H47" s="927"/>
      <c r="I47" s="928"/>
      <c r="J47" s="48"/>
      <c r="L47" s="818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819"/>
    </row>
    <row r="48" spans="1:25" s="17" customFormat="1" ht="23.1" customHeight="1">
      <c r="A48" s="903"/>
      <c r="C48" s="47"/>
      <c r="D48" s="932" t="s">
        <v>796</v>
      </c>
      <c r="E48" s="933"/>
      <c r="F48" s="934" t="s">
        <v>9</v>
      </c>
      <c r="G48" s="921"/>
      <c r="H48" s="927"/>
      <c r="I48" s="928"/>
      <c r="J48" s="48"/>
      <c r="L48" s="818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819"/>
    </row>
    <row r="49" spans="1:25" s="17" customFormat="1" ht="23.1" customHeight="1">
      <c r="A49" s="903"/>
      <c r="C49" s="47"/>
      <c r="D49" s="930" t="s">
        <v>797</v>
      </c>
      <c r="E49" s="926"/>
      <c r="F49" s="920" t="s">
        <v>8</v>
      </c>
      <c r="G49" s="921"/>
      <c r="H49" s="927"/>
      <c r="I49" s="928"/>
      <c r="J49" s="48"/>
      <c r="L49" s="818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819"/>
    </row>
    <row r="50" spans="1:25" s="17" customFormat="1" ht="23.1" customHeight="1">
      <c r="A50" s="903"/>
      <c r="C50" s="47"/>
      <c r="D50" s="930" t="s">
        <v>798</v>
      </c>
      <c r="E50" s="926"/>
      <c r="F50" s="920" t="s">
        <v>8</v>
      </c>
      <c r="G50" s="921"/>
      <c r="H50" s="927"/>
      <c r="I50" s="928"/>
      <c r="J50" s="48"/>
      <c r="L50" s="818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  <c r="Y50" s="819"/>
    </row>
    <row r="51" spans="1:25" s="17" customFormat="1" ht="23.1" customHeight="1">
      <c r="A51" s="903"/>
      <c r="C51" s="47"/>
      <c r="D51" s="930" t="s">
        <v>799</v>
      </c>
      <c r="E51" s="926"/>
      <c r="F51" s="920" t="s">
        <v>8</v>
      </c>
      <c r="G51" s="921"/>
      <c r="H51" s="927"/>
      <c r="I51" s="928"/>
      <c r="J51" s="48"/>
      <c r="L51" s="818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819"/>
    </row>
    <row r="52" spans="1:25" s="17" customFormat="1" ht="23.1" customHeight="1">
      <c r="A52" s="903"/>
      <c r="C52" s="47"/>
      <c r="D52" s="1248" t="s">
        <v>800</v>
      </c>
      <c r="E52" s="1249"/>
      <c r="F52" s="899"/>
      <c r="G52" s="931"/>
      <c r="H52" s="746"/>
      <c r="I52" s="747"/>
      <c r="J52" s="48"/>
      <c r="L52" s="818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819"/>
    </row>
    <row r="53" spans="1:25" s="17" customFormat="1" ht="23.1" customHeight="1">
      <c r="A53" s="903"/>
      <c r="C53" s="47"/>
      <c r="D53" s="930" t="s">
        <v>801</v>
      </c>
      <c r="E53" s="926"/>
      <c r="F53" s="920" t="s">
        <v>9</v>
      </c>
      <c r="G53" s="921"/>
      <c r="H53" s="927"/>
      <c r="I53" s="928"/>
      <c r="J53" s="48"/>
      <c r="L53" s="818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  <c r="Y53" s="819"/>
    </row>
    <row r="54" spans="1:25" s="17" customFormat="1" ht="23.1" customHeight="1">
      <c r="A54" s="903"/>
      <c r="C54" s="47"/>
      <c r="D54" s="930" t="s">
        <v>802</v>
      </c>
      <c r="E54" s="926"/>
      <c r="F54" s="920" t="s">
        <v>9</v>
      </c>
      <c r="G54" s="921"/>
      <c r="H54" s="927"/>
      <c r="I54" s="928"/>
      <c r="J54" s="48"/>
      <c r="L54" s="818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781"/>
      <c r="Y54" s="819"/>
    </row>
    <row r="55" spans="1:25" s="17" customFormat="1" ht="23.1" customHeight="1">
      <c r="A55" s="903"/>
      <c r="C55" s="47"/>
      <c r="D55" s="930" t="s">
        <v>803</v>
      </c>
      <c r="E55" s="926"/>
      <c r="F55" s="920" t="s">
        <v>9</v>
      </c>
      <c r="G55" s="921"/>
      <c r="H55" s="927"/>
      <c r="I55" s="928"/>
      <c r="J55" s="48"/>
      <c r="L55" s="818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781"/>
      <c r="Y55" s="819"/>
    </row>
    <row r="56" spans="1:25" s="17" customFormat="1" ht="23.1" customHeight="1">
      <c r="A56" s="903"/>
      <c r="C56" s="47"/>
      <c r="D56" s="930" t="s">
        <v>804</v>
      </c>
      <c r="E56" s="926"/>
      <c r="F56" s="920" t="s">
        <v>9</v>
      </c>
      <c r="G56" s="921"/>
      <c r="H56" s="927"/>
      <c r="I56" s="928"/>
      <c r="J56" s="48"/>
      <c r="L56" s="818"/>
      <c r="M56" s="781"/>
      <c r="N56" s="781"/>
      <c r="O56" s="781"/>
      <c r="P56" s="781"/>
      <c r="Q56" s="781"/>
      <c r="R56" s="781"/>
      <c r="S56" s="781"/>
      <c r="T56" s="781"/>
      <c r="U56" s="781"/>
      <c r="V56" s="781"/>
      <c r="W56" s="781"/>
      <c r="X56" s="781"/>
      <c r="Y56" s="819"/>
    </row>
    <row r="57" spans="1:25" s="17" customFormat="1" ht="23.1" customHeight="1">
      <c r="A57" s="903"/>
      <c r="C57" s="47"/>
      <c r="D57" s="930" t="s">
        <v>805</v>
      </c>
      <c r="E57" s="926"/>
      <c r="F57" s="920" t="s">
        <v>8</v>
      </c>
      <c r="G57" s="921"/>
      <c r="H57" s="927"/>
      <c r="I57" s="928"/>
      <c r="J57" s="48"/>
      <c r="L57" s="818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  <c r="X57" s="781"/>
      <c r="Y57" s="819"/>
    </row>
    <row r="58" spans="1:25" s="17" customFormat="1" ht="23.1" customHeight="1">
      <c r="A58" s="903"/>
      <c r="C58" s="47"/>
      <c r="D58" s="930" t="s">
        <v>806</v>
      </c>
      <c r="E58" s="926"/>
      <c r="F58" s="920" t="s">
        <v>8</v>
      </c>
      <c r="G58" s="921"/>
      <c r="H58" s="927"/>
      <c r="I58" s="928"/>
      <c r="J58" s="48"/>
      <c r="L58" s="818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  <c r="X58" s="781"/>
      <c r="Y58" s="819"/>
    </row>
    <row r="59" spans="1:25" s="17" customFormat="1" ht="23.1" customHeight="1">
      <c r="A59" s="903"/>
      <c r="C59" s="47"/>
      <c r="D59" s="930" t="s">
        <v>807</v>
      </c>
      <c r="E59" s="926"/>
      <c r="F59" s="920" t="s">
        <v>8</v>
      </c>
      <c r="G59" s="921"/>
      <c r="H59" s="927"/>
      <c r="I59" s="928"/>
      <c r="J59" s="48"/>
      <c r="L59" s="818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781"/>
      <c r="Y59" s="819"/>
    </row>
    <row r="60" spans="1:25" s="80" customFormat="1" ht="23.1" customHeight="1">
      <c r="A60" s="903"/>
      <c r="B60" s="970"/>
      <c r="C60" s="47"/>
      <c r="D60" s="930" t="s">
        <v>808</v>
      </c>
      <c r="E60" s="926"/>
      <c r="F60" s="920" t="s">
        <v>8</v>
      </c>
      <c r="G60" s="921"/>
      <c r="H60" s="927"/>
      <c r="I60" s="928"/>
      <c r="J60" s="48"/>
      <c r="K60" s="970"/>
      <c r="L60" s="818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781"/>
      <c r="Y60" s="819"/>
    </row>
    <row r="61" spans="1:25" ht="23.1" customHeight="1" thickBot="1">
      <c r="A61" s="975"/>
      <c r="C61" s="935"/>
      <c r="D61" s="1227"/>
      <c r="E61" s="1229"/>
      <c r="F61" s="898"/>
      <c r="G61" s="100" t="s">
        <v>629</v>
      </c>
      <c r="H61" s="70">
        <f>SUM(H17:H60)</f>
        <v>0</v>
      </c>
      <c r="I61" s="70">
        <f>SUM(I17:I60)</f>
        <v>0</v>
      </c>
      <c r="J61" s="936"/>
      <c r="L61" s="818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781"/>
      <c r="Y61" s="819"/>
    </row>
    <row r="62" spans="1:25" ht="23.1" customHeight="1">
      <c r="A62" s="975"/>
      <c r="C62" s="47"/>
      <c r="D62" s="632"/>
      <c r="E62" s="632"/>
      <c r="F62" s="632"/>
      <c r="G62" s="99"/>
      <c r="H62" s="99"/>
      <c r="I62" s="31"/>
      <c r="J62" s="39"/>
      <c r="L62" s="818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781"/>
      <c r="Y62" s="819"/>
    </row>
    <row r="63" spans="1:25" ht="23.1" customHeight="1">
      <c r="A63" s="975"/>
      <c r="C63" s="47"/>
      <c r="D63" s="1245" t="s">
        <v>809</v>
      </c>
      <c r="E63" s="1246"/>
      <c r="F63" s="1246"/>
      <c r="G63" s="1246"/>
      <c r="H63" s="1246"/>
      <c r="I63" s="1247"/>
      <c r="J63" s="39"/>
      <c r="L63" s="818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781"/>
      <c r="Y63" s="819"/>
    </row>
    <row r="64" spans="1:25" ht="23.1" customHeight="1">
      <c r="A64" s="975"/>
      <c r="C64" s="47"/>
      <c r="D64" s="17"/>
      <c r="E64" s="17"/>
      <c r="F64" s="17"/>
      <c r="G64" s="17"/>
      <c r="H64" s="17"/>
      <c r="I64" s="17"/>
      <c r="J64" s="39"/>
      <c r="L64" s="818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781"/>
      <c r="Y64" s="819"/>
    </row>
    <row r="65" spans="1:25" ht="23.1" customHeight="1">
      <c r="A65" s="975"/>
      <c r="C65" s="47"/>
      <c r="D65" s="1184" t="s">
        <v>530</v>
      </c>
      <c r="E65" s="1186"/>
      <c r="F65" s="150" t="s">
        <v>760</v>
      </c>
      <c r="G65" s="141" t="s">
        <v>761</v>
      </c>
      <c r="H65" s="141" t="s">
        <v>810</v>
      </c>
      <c r="I65" s="129" t="s">
        <v>811</v>
      </c>
      <c r="J65" s="39"/>
      <c r="L65" s="818"/>
      <c r="M65" s="781"/>
      <c r="N65" s="781"/>
      <c r="O65" s="781"/>
      <c r="P65" s="781"/>
      <c r="Q65" s="781"/>
      <c r="R65" s="781"/>
      <c r="S65" s="781"/>
      <c r="T65" s="781"/>
      <c r="U65" s="781"/>
      <c r="V65" s="781"/>
      <c r="W65" s="781"/>
      <c r="X65" s="781"/>
      <c r="Y65" s="819"/>
    </row>
    <row r="66" spans="1:25" ht="23.1" customHeight="1">
      <c r="A66" s="975"/>
      <c r="C66" s="47"/>
      <c r="D66" s="1248" t="s">
        <v>764</v>
      </c>
      <c r="E66" s="1249"/>
      <c r="F66" s="899"/>
      <c r="G66" s="141"/>
      <c r="H66" s="141"/>
      <c r="I66" s="129"/>
      <c r="J66" s="39"/>
      <c r="L66" s="818"/>
      <c r="M66" s="781"/>
      <c r="N66" s="781"/>
      <c r="O66" s="781"/>
      <c r="P66" s="781"/>
      <c r="Q66" s="781"/>
      <c r="R66" s="781"/>
      <c r="S66" s="781"/>
      <c r="T66" s="781"/>
      <c r="U66" s="781"/>
      <c r="V66" s="781"/>
      <c r="W66" s="781"/>
      <c r="X66" s="781"/>
      <c r="Y66" s="819"/>
    </row>
    <row r="67" spans="1:25" ht="23.1" customHeight="1">
      <c r="A67" s="975"/>
      <c r="C67" s="47"/>
      <c r="D67" s="937" t="s">
        <v>765</v>
      </c>
      <c r="E67" s="938"/>
      <c r="F67" s="939" t="s">
        <v>8</v>
      </c>
      <c r="G67" s="921"/>
      <c r="H67" s="927"/>
      <c r="I67" s="928"/>
      <c r="J67" s="343"/>
      <c r="L67" s="818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781"/>
      <c r="X67" s="781"/>
      <c r="Y67" s="819"/>
    </row>
    <row r="68" spans="1:25" ht="23.1" customHeight="1">
      <c r="A68" s="975"/>
      <c r="C68" s="47"/>
      <c r="D68" s="940" t="s">
        <v>766</v>
      </c>
      <c r="E68" s="941"/>
      <c r="F68" s="939" t="s">
        <v>8</v>
      </c>
      <c r="G68" s="921"/>
      <c r="H68" s="927"/>
      <c r="I68" s="928"/>
      <c r="J68" s="343"/>
      <c r="L68" s="818"/>
      <c r="M68" s="781"/>
      <c r="N68" s="781"/>
      <c r="O68" s="781"/>
      <c r="P68" s="781"/>
      <c r="Q68" s="781"/>
      <c r="R68" s="781"/>
      <c r="S68" s="781"/>
      <c r="T68" s="781"/>
      <c r="U68" s="781"/>
      <c r="V68" s="781"/>
      <c r="W68" s="781"/>
      <c r="X68" s="781"/>
      <c r="Y68" s="819"/>
    </row>
    <row r="69" spans="1:25" ht="23.1" customHeight="1">
      <c r="A69" s="975"/>
      <c r="C69" s="47"/>
      <c r="D69" s="940" t="s">
        <v>767</v>
      </c>
      <c r="E69" s="941"/>
      <c r="F69" s="939" t="s">
        <v>8</v>
      </c>
      <c r="G69" s="921"/>
      <c r="H69" s="927"/>
      <c r="I69" s="928"/>
      <c r="J69" s="343"/>
      <c r="L69" s="818"/>
      <c r="M69" s="781"/>
      <c r="N69" s="781"/>
      <c r="O69" s="781"/>
      <c r="P69" s="781"/>
      <c r="Q69" s="781"/>
      <c r="R69" s="781"/>
      <c r="S69" s="781"/>
      <c r="T69" s="781"/>
      <c r="U69" s="781"/>
      <c r="V69" s="781"/>
      <c r="W69" s="781"/>
      <c r="X69" s="781"/>
      <c r="Y69" s="819"/>
    </row>
    <row r="70" spans="1:25" ht="23.1" customHeight="1">
      <c r="A70" s="975"/>
      <c r="C70" s="47"/>
      <c r="D70" s="940" t="s">
        <v>768</v>
      </c>
      <c r="E70" s="941"/>
      <c r="F70" s="939" t="s">
        <v>8</v>
      </c>
      <c r="G70" s="921"/>
      <c r="H70" s="927"/>
      <c r="I70" s="928"/>
      <c r="J70" s="343"/>
      <c r="L70" s="818"/>
      <c r="M70" s="781"/>
      <c r="N70" s="781"/>
      <c r="O70" s="781"/>
      <c r="P70" s="781"/>
      <c r="Q70" s="781"/>
      <c r="R70" s="781"/>
      <c r="S70" s="781"/>
      <c r="T70" s="781"/>
      <c r="U70" s="781"/>
      <c r="V70" s="781"/>
      <c r="W70" s="781"/>
      <c r="X70" s="781"/>
      <c r="Y70" s="819"/>
    </row>
    <row r="71" spans="1:25" ht="23.1" customHeight="1">
      <c r="A71" s="975"/>
      <c r="C71" s="47"/>
      <c r="D71" s="940" t="s">
        <v>769</v>
      </c>
      <c r="E71" s="941"/>
      <c r="F71" s="939" t="s">
        <v>8</v>
      </c>
      <c r="G71" s="921"/>
      <c r="H71" s="927"/>
      <c r="I71" s="928"/>
      <c r="J71" s="343"/>
      <c r="L71" s="818"/>
      <c r="M71" s="781"/>
      <c r="N71" s="781"/>
      <c r="O71" s="781"/>
      <c r="P71" s="781"/>
      <c r="Q71" s="781"/>
      <c r="R71" s="781"/>
      <c r="S71" s="781"/>
      <c r="T71" s="781"/>
      <c r="U71" s="781"/>
      <c r="V71" s="781"/>
      <c r="W71" s="781"/>
      <c r="X71" s="781"/>
      <c r="Y71" s="819"/>
    </row>
    <row r="72" spans="1:25" ht="23.1" customHeight="1">
      <c r="A72" s="975"/>
      <c r="C72" s="47"/>
      <c r="D72" s="940" t="s">
        <v>770</v>
      </c>
      <c r="E72" s="941"/>
      <c r="F72" s="939" t="s">
        <v>8</v>
      </c>
      <c r="G72" s="921"/>
      <c r="H72" s="927"/>
      <c r="I72" s="928"/>
      <c r="J72" s="343"/>
      <c r="L72" s="818"/>
      <c r="M72" s="781"/>
      <c r="N72" s="781"/>
      <c r="O72" s="781"/>
      <c r="P72" s="781"/>
      <c r="Q72" s="781"/>
      <c r="R72" s="781"/>
      <c r="S72" s="781"/>
      <c r="T72" s="781"/>
      <c r="U72" s="781"/>
      <c r="V72" s="781"/>
      <c r="W72" s="781"/>
      <c r="X72" s="781"/>
      <c r="Y72" s="819"/>
    </row>
    <row r="73" spans="1:25" ht="23.1" customHeight="1">
      <c r="A73" s="975"/>
      <c r="C73" s="47"/>
      <c r="D73" s="940" t="s">
        <v>771</v>
      </c>
      <c r="E73" s="941"/>
      <c r="F73" s="939" t="s">
        <v>9</v>
      </c>
      <c r="G73" s="921"/>
      <c r="H73" s="927"/>
      <c r="I73" s="928"/>
      <c r="J73" s="343"/>
      <c r="L73" s="818"/>
      <c r="M73" s="781"/>
      <c r="N73" s="781"/>
      <c r="O73" s="781"/>
      <c r="P73" s="781"/>
      <c r="Q73" s="781"/>
      <c r="R73" s="781"/>
      <c r="S73" s="781"/>
      <c r="T73" s="781"/>
      <c r="U73" s="781"/>
      <c r="V73" s="781"/>
      <c r="W73" s="781"/>
      <c r="X73" s="781"/>
      <c r="Y73" s="819"/>
    </row>
    <row r="74" spans="1:25" ht="23.1" customHeight="1">
      <c r="A74" s="975"/>
      <c r="C74" s="47"/>
      <c r="D74" s="940" t="s">
        <v>772</v>
      </c>
      <c r="E74" s="941"/>
      <c r="F74" s="939" t="s">
        <v>8</v>
      </c>
      <c r="G74" s="921"/>
      <c r="H74" s="927"/>
      <c r="I74" s="928"/>
      <c r="J74" s="343"/>
      <c r="L74" s="818"/>
      <c r="M74" s="781"/>
      <c r="N74" s="781"/>
      <c r="O74" s="781"/>
      <c r="P74" s="781"/>
      <c r="Q74" s="781"/>
      <c r="R74" s="781"/>
      <c r="S74" s="781"/>
      <c r="T74" s="781"/>
      <c r="U74" s="781"/>
      <c r="V74" s="781"/>
      <c r="W74" s="781"/>
      <c r="X74" s="781"/>
      <c r="Y74" s="819"/>
    </row>
    <row r="75" spans="1:25" ht="23.1" customHeight="1">
      <c r="A75" s="975"/>
      <c r="C75" s="47"/>
      <c r="D75" s="940" t="s">
        <v>773</v>
      </c>
      <c r="E75" s="941"/>
      <c r="F75" s="939" t="s">
        <v>9</v>
      </c>
      <c r="G75" s="921"/>
      <c r="H75" s="927"/>
      <c r="I75" s="928"/>
      <c r="J75" s="343"/>
      <c r="L75" s="818"/>
      <c r="M75" s="781"/>
      <c r="N75" s="781"/>
      <c r="O75" s="781"/>
      <c r="P75" s="781"/>
      <c r="Q75" s="781"/>
      <c r="R75" s="781"/>
      <c r="S75" s="781"/>
      <c r="T75" s="781"/>
      <c r="U75" s="781"/>
      <c r="V75" s="781"/>
      <c r="W75" s="781"/>
      <c r="X75" s="781"/>
      <c r="Y75" s="819"/>
    </row>
    <row r="76" spans="1:25" ht="23.1" customHeight="1">
      <c r="A76" s="975"/>
      <c r="C76" s="47"/>
      <c r="D76" s="940" t="s">
        <v>774</v>
      </c>
      <c r="E76" s="941"/>
      <c r="F76" s="939" t="s">
        <v>9</v>
      </c>
      <c r="G76" s="921"/>
      <c r="H76" s="927"/>
      <c r="I76" s="928"/>
      <c r="J76" s="343"/>
      <c r="L76" s="818"/>
      <c r="M76" s="781"/>
      <c r="N76" s="781"/>
      <c r="O76" s="781"/>
      <c r="P76" s="781"/>
      <c r="Q76" s="781"/>
      <c r="R76" s="781"/>
      <c r="S76" s="781"/>
      <c r="T76" s="781"/>
      <c r="U76" s="781"/>
      <c r="V76" s="781"/>
      <c r="W76" s="781"/>
      <c r="X76" s="781"/>
      <c r="Y76" s="819"/>
    </row>
    <row r="77" spans="1:25" ht="23.1" customHeight="1">
      <c r="A77" s="975"/>
      <c r="C77" s="47"/>
      <c r="D77" s="940" t="s">
        <v>775</v>
      </c>
      <c r="E77" s="941"/>
      <c r="F77" s="939" t="s">
        <v>9</v>
      </c>
      <c r="G77" s="921"/>
      <c r="H77" s="927"/>
      <c r="I77" s="928"/>
      <c r="J77" s="343"/>
      <c r="L77" s="818"/>
      <c r="M77" s="781"/>
      <c r="N77" s="781"/>
      <c r="O77" s="781"/>
      <c r="P77" s="781"/>
      <c r="Q77" s="781"/>
      <c r="R77" s="781"/>
      <c r="S77" s="781"/>
      <c r="T77" s="781"/>
      <c r="U77" s="781"/>
      <c r="V77" s="781"/>
      <c r="W77" s="781"/>
      <c r="X77" s="781"/>
      <c r="Y77" s="819"/>
    </row>
    <row r="78" spans="1:25" ht="23.1" customHeight="1">
      <c r="A78" s="975"/>
      <c r="C78" s="47"/>
      <c r="D78" s="942" t="s">
        <v>776</v>
      </c>
      <c r="E78" s="943"/>
      <c r="F78" s="944" t="s">
        <v>9</v>
      </c>
      <c r="G78" s="921"/>
      <c r="H78" s="927"/>
      <c r="I78" s="928"/>
      <c r="J78" s="343"/>
      <c r="L78" s="818"/>
      <c r="M78" s="781"/>
      <c r="N78" s="781"/>
      <c r="O78" s="781"/>
      <c r="P78" s="781"/>
      <c r="Q78" s="781"/>
      <c r="R78" s="781"/>
      <c r="S78" s="781"/>
      <c r="T78" s="781"/>
      <c r="U78" s="781"/>
      <c r="V78" s="781"/>
      <c r="W78" s="781"/>
      <c r="X78" s="781"/>
      <c r="Y78" s="819"/>
    </row>
    <row r="79" spans="1:25" ht="23.1" customHeight="1">
      <c r="A79" s="975"/>
      <c r="C79" s="47"/>
      <c r="D79" s="942" t="s">
        <v>777</v>
      </c>
      <c r="E79" s="943"/>
      <c r="F79" s="944" t="s">
        <v>9</v>
      </c>
      <c r="G79" s="921"/>
      <c r="H79" s="927"/>
      <c r="I79" s="928"/>
      <c r="J79" s="343"/>
      <c r="L79" s="818"/>
      <c r="M79" s="781"/>
      <c r="N79" s="781"/>
      <c r="O79" s="781"/>
      <c r="P79" s="781"/>
      <c r="Q79" s="781"/>
      <c r="R79" s="781"/>
      <c r="S79" s="781"/>
      <c r="T79" s="781"/>
      <c r="U79" s="781"/>
      <c r="V79" s="781"/>
      <c r="W79" s="781"/>
      <c r="X79" s="781"/>
      <c r="Y79" s="819"/>
    </row>
    <row r="80" spans="1:25" ht="23.1" customHeight="1">
      <c r="A80" s="975"/>
      <c r="C80" s="47"/>
      <c r="D80" s="942" t="s">
        <v>778</v>
      </c>
      <c r="E80" s="943"/>
      <c r="F80" s="944" t="s">
        <v>9</v>
      </c>
      <c r="G80" s="921"/>
      <c r="H80" s="927"/>
      <c r="I80" s="928"/>
      <c r="J80" s="343"/>
      <c r="L80" s="818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781"/>
      <c r="Y80" s="819"/>
    </row>
    <row r="81" spans="1:25" ht="23.1" customHeight="1">
      <c r="A81" s="975"/>
      <c r="C81" s="47"/>
      <c r="D81" s="942" t="s">
        <v>779</v>
      </c>
      <c r="E81" s="943"/>
      <c r="F81" s="920" t="s">
        <v>8</v>
      </c>
      <c r="G81" s="921"/>
      <c r="H81" s="927"/>
      <c r="I81" s="928"/>
      <c r="J81" s="39"/>
      <c r="L81" s="818"/>
      <c r="M81" s="781"/>
      <c r="N81" s="781"/>
      <c r="O81" s="781"/>
      <c r="P81" s="781"/>
      <c r="Q81" s="781"/>
      <c r="R81" s="781"/>
      <c r="S81" s="781"/>
      <c r="T81" s="781"/>
      <c r="U81" s="781"/>
      <c r="V81" s="781"/>
      <c r="W81" s="781"/>
      <c r="X81" s="781"/>
      <c r="Y81" s="819"/>
    </row>
    <row r="82" spans="1:25" ht="23.1" customHeight="1">
      <c r="A82" s="975"/>
      <c r="C82" s="47"/>
      <c r="D82" s="942" t="s">
        <v>780</v>
      </c>
      <c r="E82" s="943"/>
      <c r="F82" s="920" t="s">
        <v>8</v>
      </c>
      <c r="G82" s="921"/>
      <c r="H82" s="927"/>
      <c r="I82" s="928"/>
      <c r="J82" s="39"/>
      <c r="L82" s="818"/>
      <c r="M82" s="781"/>
      <c r="N82" s="781"/>
      <c r="O82" s="781"/>
      <c r="P82" s="781"/>
      <c r="Q82" s="781"/>
      <c r="R82" s="781"/>
      <c r="S82" s="781"/>
      <c r="T82" s="781"/>
      <c r="U82" s="781"/>
      <c r="V82" s="781"/>
      <c r="W82" s="781"/>
      <c r="X82" s="781"/>
      <c r="Y82" s="819"/>
    </row>
    <row r="83" spans="1:25" ht="23.1" customHeight="1">
      <c r="A83" s="975"/>
      <c r="C83" s="47"/>
      <c r="D83" s="942" t="s">
        <v>781</v>
      </c>
      <c r="E83" s="943"/>
      <c r="F83" s="920" t="s">
        <v>8</v>
      </c>
      <c r="G83" s="921"/>
      <c r="H83" s="927"/>
      <c r="I83" s="928"/>
      <c r="J83" s="39"/>
      <c r="L83" s="818"/>
      <c r="M83" s="781"/>
      <c r="N83" s="781"/>
      <c r="O83" s="781"/>
      <c r="P83" s="781"/>
      <c r="Q83" s="781"/>
      <c r="R83" s="781"/>
      <c r="S83" s="781"/>
      <c r="T83" s="781"/>
      <c r="U83" s="781"/>
      <c r="V83" s="781"/>
      <c r="W83" s="781"/>
      <c r="X83" s="781"/>
      <c r="Y83" s="819"/>
    </row>
    <row r="84" spans="1:25" ht="23.1" customHeight="1">
      <c r="A84" s="975"/>
      <c r="C84" s="47"/>
      <c r="D84" s="945" t="s">
        <v>782</v>
      </c>
      <c r="E84" s="946"/>
      <c r="F84" s="920" t="s">
        <v>8</v>
      </c>
      <c r="G84" s="921"/>
      <c r="H84" s="927"/>
      <c r="I84" s="928"/>
      <c r="J84" s="39"/>
      <c r="L84" s="818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781"/>
      <c r="X84" s="781"/>
      <c r="Y84" s="819"/>
    </row>
    <row r="85" spans="1:25" ht="23.1" customHeight="1">
      <c r="A85" s="975"/>
      <c r="C85" s="47"/>
      <c r="D85" s="930" t="s">
        <v>783</v>
      </c>
      <c r="E85" s="926"/>
      <c r="F85" s="920" t="s">
        <v>8</v>
      </c>
      <c r="G85" s="921"/>
      <c r="H85" s="927"/>
      <c r="I85" s="928"/>
      <c r="J85" s="39"/>
      <c r="L85" s="818"/>
      <c r="M85" s="781"/>
      <c r="N85" s="781"/>
      <c r="O85" s="781"/>
      <c r="P85" s="781"/>
      <c r="Q85" s="781"/>
      <c r="R85" s="781"/>
      <c r="S85" s="781"/>
      <c r="T85" s="781"/>
      <c r="U85" s="781"/>
      <c r="V85" s="781"/>
      <c r="W85" s="781"/>
      <c r="X85" s="781"/>
      <c r="Y85" s="819"/>
    </row>
    <row r="86" spans="1:25" ht="23.1" customHeight="1">
      <c r="A86" s="975"/>
      <c r="C86" s="47"/>
      <c r="D86" s="930" t="s">
        <v>784</v>
      </c>
      <c r="E86" s="926"/>
      <c r="F86" s="920" t="s">
        <v>8</v>
      </c>
      <c r="G86" s="921"/>
      <c r="H86" s="927"/>
      <c r="I86" s="928"/>
      <c r="J86" s="39"/>
      <c r="L86" s="818"/>
      <c r="M86" s="781"/>
      <c r="N86" s="781"/>
      <c r="O86" s="781"/>
      <c r="P86" s="781"/>
      <c r="Q86" s="781"/>
      <c r="R86" s="781"/>
      <c r="S86" s="781"/>
      <c r="T86" s="781"/>
      <c r="U86" s="781"/>
      <c r="V86" s="781"/>
      <c r="W86" s="781"/>
      <c r="X86" s="781"/>
      <c r="Y86" s="819"/>
    </row>
    <row r="87" spans="1:25" ht="23.1" customHeight="1">
      <c r="A87" s="975"/>
      <c r="C87" s="47"/>
      <c r="D87" s="1248" t="s">
        <v>785</v>
      </c>
      <c r="E87" s="1249"/>
      <c r="F87" s="899"/>
      <c r="G87" s="947"/>
      <c r="H87" s="746"/>
      <c r="I87" s="747"/>
      <c r="J87" s="39"/>
      <c r="L87" s="818"/>
      <c r="M87" s="781"/>
      <c r="N87" s="781"/>
      <c r="O87" s="781"/>
      <c r="P87" s="781"/>
      <c r="Q87" s="781"/>
      <c r="R87" s="781"/>
      <c r="S87" s="781"/>
      <c r="T87" s="781"/>
      <c r="U87" s="781"/>
      <c r="V87" s="781"/>
      <c r="W87" s="781"/>
      <c r="X87" s="781"/>
      <c r="Y87" s="819"/>
    </row>
    <row r="88" spans="1:25" ht="23.1" customHeight="1">
      <c r="A88" s="975"/>
      <c r="C88" s="47"/>
      <c r="D88" s="948" t="s">
        <v>786</v>
      </c>
      <c r="E88" s="949"/>
      <c r="F88" s="920" t="s">
        <v>9</v>
      </c>
      <c r="G88" s="921"/>
      <c r="H88" s="927"/>
      <c r="I88" s="928"/>
      <c r="J88" s="343"/>
      <c r="L88" s="818"/>
      <c r="M88" s="781"/>
      <c r="N88" s="781"/>
      <c r="O88" s="781"/>
      <c r="P88" s="781"/>
      <c r="Q88" s="781"/>
      <c r="R88" s="781"/>
      <c r="S88" s="781"/>
      <c r="T88" s="781"/>
      <c r="U88" s="781"/>
      <c r="V88" s="781"/>
      <c r="W88" s="781"/>
      <c r="X88" s="781"/>
      <c r="Y88" s="819"/>
    </row>
    <row r="89" spans="1:25" ht="23.1" customHeight="1">
      <c r="A89" s="975"/>
      <c r="C89" s="47"/>
      <c r="D89" s="948" t="s">
        <v>787</v>
      </c>
      <c r="E89" s="949"/>
      <c r="F89" s="920" t="s">
        <v>9</v>
      </c>
      <c r="G89" s="921"/>
      <c r="H89" s="927"/>
      <c r="I89" s="928"/>
      <c r="J89" s="343"/>
      <c r="L89" s="818"/>
      <c r="M89" s="781"/>
      <c r="N89" s="781"/>
      <c r="O89" s="781"/>
      <c r="P89" s="781"/>
      <c r="Q89" s="781"/>
      <c r="R89" s="781"/>
      <c r="S89" s="781"/>
      <c r="T89" s="781"/>
      <c r="U89" s="781"/>
      <c r="V89" s="781"/>
      <c r="W89" s="781"/>
      <c r="X89" s="781"/>
      <c r="Y89" s="819"/>
    </row>
    <row r="90" spans="1:25" ht="23.1" customHeight="1">
      <c r="A90" s="975"/>
      <c r="C90" s="47"/>
      <c r="D90" s="948" t="s">
        <v>788</v>
      </c>
      <c r="E90" s="949"/>
      <c r="F90" s="920" t="s">
        <v>8</v>
      </c>
      <c r="G90" s="921"/>
      <c r="H90" s="927"/>
      <c r="I90" s="928"/>
      <c r="J90" s="343"/>
      <c r="L90" s="818"/>
      <c r="M90" s="781"/>
      <c r="N90" s="781"/>
      <c r="O90" s="781"/>
      <c r="P90" s="781"/>
      <c r="Q90" s="781"/>
      <c r="R90" s="781"/>
      <c r="S90" s="781"/>
      <c r="T90" s="781"/>
      <c r="U90" s="781"/>
      <c r="V90" s="781"/>
      <c r="W90" s="781"/>
      <c r="X90" s="781"/>
      <c r="Y90" s="819"/>
    </row>
    <row r="91" spans="1:25" ht="23.1" customHeight="1">
      <c r="A91" s="975"/>
      <c r="C91" s="47"/>
      <c r="D91" s="948" t="s">
        <v>789</v>
      </c>
      <c r="E91" s="949"/>
      <c r="F91" s="920" t="s">
        <v>9</v>
      </c>
      <c r="G91" s="921"/>
      <c r="H91" s="927"/>
      <c r="I91" s="928"/>
      <c r="J91" s="343"/>
      <c r="L91" s="818"/>
      <c r="M91" s="781"/>
      <c r="N91" s="781"/>
      <c r="O91" s="781"/>
      <c r="P91" s="781"/>
      <c r="Q91" s="781"/>
      <c r="R91" s="781"/>
      <c r="S91" s="781"/>
      <c r="T91" s="781"/>
      <c r="U91" s="781"/>
      <c r="V91" s="781"/>
      <c r="W91" s="781"/>
      <c r="X91" s="781"/>
      <c r="Y91" s="819"/>
    </row>
    <row r="92" spans="1:25" ht="23.1" customHeight="1">
      <c r="A92" s="975"/>
      <c r="C92" s="47"/>
      <c r="D92" s="930" t="s">
        <v>790</v>
      </c>
      <c r="E92" s="926"/>
      <c r="F92" s="920" t="s">
        <v>8</v>
      </c>
      <c r="G92" s="921"/>
      <c r="H92" s="927"/>
      <c r="I92" s="928"/>
      <c r="J92" s="39"/>
      <c r="L92" s="818"/>
      <c r="M92" s="781"/>
      <c r="N92" s="781"/>
      <c r="O92" s="781"/>
      <c r="P92" s="781"/>
      <c r="Q92" s="781"/>
      <c r="R92" s="781"/>
      <c r="S92" s="781"/>
      <c r="T92" s="781"/>
      <c r="U92" s="781"/>
      <c r="V92" s="781"/>
      <c r="W92" s="781"/>
      <c r="X92" s="781"/>
      <c r="Y92" s="819"/>
    </row>
    <row r="93" spans="1:25" ht="23.1" customHeight="1">
      <c r="A93" s="975"/>
      <c r="C93" s="47"/>
      <c r="D93" s="930" t="s">
        <v>791</v>
      </c>
      <c r="E93" s="926"/>
      <c r="F93" s="920" t="s">
        <v>9</v>
      </c>
      <c r="G93" s="921"/>
      <c r="H93" s="927"/>
      <c r="I93" s="928"/>
      <c r="J93" s="39"/>
      <c r="L93" s="818"/>
      <c r="M93" s="781"/>
      <c r="N93" s="781"/>
      <c r="O93" s="781"/>
      <c r="P93" s="781"/>
      <c r="Q93" s="781"/>
      <c r="R93" s="781"/>
      <c r="S93" s="781"/>
      <c r="T93" s="781"/>
      <c r="U93" s="781"/>
      <c r="V93" s="781"/>
      <c r="W93" s="781"/>
      <c r="X93" s="781"/>
      <c r="Y93" s="819"/>
    </row>
    <row r="94" spans="1:25" ht="23.1" customHeight="1">
      <c r="A94" s="975"/>
      <c r="C94" s="47"/>
      <c r="D94" s="930" t="s">
        <v>792</v>
      </c>
      <c r="E94" s="926"/>
      <c r="F94" s="920" t="s">
        <v>8</v>
      </c>
      <c r="G94" s="921"/>
      <c r="H94" s="927"/>
      <c r="I94" s="928"/>
      <c r="J94" s="39"/>
      <c r="L94" s="818"/>
      <c r="M94" s="781"/>
      <c r="N94" s="781"/>
      <c r="O94" s="781"/>
      <c r="P94" s="781"/>
      <c r="Q94" s="781"/>
      <c r="R94" s="781"/>
      <c r="S94" s="781"/>
      <c r="T94" s="781"/>
      <c r="U94" s="781"/>
      <c r="V94" s="781"/>
      <c r="W94" s="781"/>
      <c r="X94" s="781"/>
      <c r="Y94" s="819"/>
    </row>
    <row r="95" spans="1:25" ht="23.1" customHeight="1">
      <c r="A95" s="975"/>
      <c r="C95" s="47"/>
      <c r="D95" s="930" t="s">
        <v>793</v>
      </c>
      <c r="E95" s="926"/>
      <c r="F95" s="920" t="s">
        <v>8</v>
      </c>
      <c r="G95" s="921"/>
      <c r="H95" s="927"/>
      <c r="I95" s="928"/>
      <c r="J95" s="39"/>
      <c r="L95" s="818"/>
      <c r="M95" s="781"/>
      <c r="N95" s="781"/>
      <c r="O95" s="781"/>
      <c r="P95" s="781"/>
      <c r="Q95" s="781"/>
      <c r="R95" s="781"/>
      <c r="S95" s="781"/>
      <c r="T95" s="781"/>
      <c r="U95" s="781"/>
      <c r="V95" s="781"/>
      <c r="W95" s="781"/>
      <c r="X95" s="781"/>
      <c r="Y95" s="819"/>
    </row>
    <row r="96" spans="1:25" ht="23.1" customHeight="1">
      <c r="A96" s="975"/>
      <c r="C96" s="47"/>
      <c r="D96" s="930" t="s">
        <v>794</v>
      </c>
      <c r="E96" s="926"/>
      <c r="F96" s="920" t="s">
        <v>8</v>
      </c>
      <c r="G96" s="921"/>
      <c r="H96" s="927"/>
      <c r="I96" s="928"/>
      <c r="J96" s="39"/>
      <c r="L96" s="818"/>
      <c r="M96" s="781"/>
      <c r="N96" s="781"/>
      <c r="O96" s="781"/>
      <c r="P96" s="781"/>
      <c r="Q96" s="781"/>
      <c r="R96" s="781"/>
      <c r="S96" s="781"/>
      <c r="T96" s="781"/>
      <c r="U96" s="781"/>
      <c r="V96" s="781"/>
      <c r="W96" s="781"/>
      <c r="X96" s="781"/>
      <c r="Y96" s="819"/>
    </row>
    <row r="97" spans="1:25" ht="23.1" customHeight="1">
      <c r="A97" s="975"/>
      <c r="C97" s="47"/>
      <c r="D97" s="930" t="s">
        <v>795</v>
      </c>
      <c r="E97" s="926"/>
      <c r="F97" s="920" t="s">
        <v>8</v>
      </c>
      <c r="G97" s="921"/>
      <c r="H97" s="927"/>
      <c r="I97" s="928"/>
      <c r="J97" s="39"/>
      <c r="L97" s="818"/>
      <c r="M97" s="781"/>
      <c r="N97" s="781"/>
      <c r="O97" s="781"/>
      <c r="P97" s="781"/>
      <c r="Q97" s="781"/>
      <c r="R97" s="781"/>
      <c r="S97" s="781"/>
      <c r="T97" s="781"/>
      <c r="U97" s="781"/>
      <c r="V97" s="781"/>
      <c r="W97" s="781"/>
      <c r="X97" s="781"/>
      <c r="Y97" s="819"/>
    </row>
    <row r="98" spans="1:25" ht="23.1" customHeight="1">
      <c r="A98" s="975"/>
      <c r="C98" s="47"/>
      <c r="D98" s="932" t="s">
        <v>796</v>
      </c>
      <c r="E98" s="933"/>
      <c r="F98" s="920" t="s">
        <v>9</v>
      </c>
      <c r="G98" s="921"/>
      <c r="H98" s="927"/>
      <c r="I98" s="928"/>
      <c r="J98" s="39"/>
      <c r="L98" s="818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819"/>
    </row>
    <row r="99" spans="1:25" ht="23.1" customHeight="1">
      <c r="A99" s="975"/>
      <c r="C99" s="47"/>
      <c r="D99" s="930" t="s">
        <v>797</v>
      </c>
      <c r="E99" s="926"/>
      <c r="F99" s="920" t="s">
        <v>8</v>
      </c>
      <c r="G99" s="921"/>
      <c r="H99" s="927"/>
      <c r="I99" s="928"/>
      <c r="J99" s="39"/>
      <c r="L99" s="818"/>
      <c r="M99" s="781"/>
      <c r="N99" s="781"/>
      <c r="O99" s="781"/>
      <c r="P99" s="781"/>
      <c r="Q99" s="781"/>
      <c r="R99" s="781"/>
      <c r="S99" s="781"/>
      <c r="T99" s="781"/>
      <c r="U99" s="781"/>
      <c r="V99" s="781"/>
      <c r="W99" s="781"/>
      <c r="X99" s="781"/>
      <c r="Y99" s="819"/>
    </row>
    <row r="100" spans="1:25" ht="23.1" customHeight="1">
      <c r="A100" s="975"/>
      <c r="C100" s="47"/>
      <c r="D100" s="930" t="s">
        <v>798</v>
      </c>
      <c r="E100" s="926"/>
      <c r="F100" s="920" t="s">
        <v>8</v>
      </c>
      <c r="G100" s="921"/>
      <c r="H100" s="927"/>
      <c r="I100" s="928"/>
      <c r="J100" s="39"/>
      <c r="L100" s="818"/>
      <c r="M100" s="781"/>
      <c r="N100" s="781"/>
      <c r="O100" s="781"/>
      <c r="P100" s="781"/>
      <c r="Q100" s="781"/>
      <c r="R100" s="781"/>
      <c r="S100" s="781"/>
      <c r="T100" s="781"/>
      <c r="U100" s="781"/>
      <c r="V100" s="781"/>
      <c r="W100" s="781"/>
      <c r="X100" s="781"/>
      <c r="Y100" s="819"/>
    </row>
    <row r="101" spans="1:25" ht="23.1" customHeight="1">
      <c r="A101" s="975"/>
      <c r="C101" s="47"/>
      <c r="D101" s="930" t="s">
        <v>799</v>
      </c>
      <c r="E101" s="926"/>
      <c r="F101" s="920" t="s">
        <v>8</v>
      </c>
      <c r="G101" s="921"/>
      <c r="H101" s="927"/>
      <c r="I101" s="928"/>
      <c r="J101" s="39"/>
      <c r="L101" s="818"/>
      <c r="M101" s="781"/>
      <c r="N101" s="781"/>
      <c r="O101" s="781"/>
      <c r="P101" s="781"/>
      <c r="Q101" s="781"/>
      <c r="R101" s="781"/>
      <c r="S101" s="781"/>
      <c r="T101" s="781"/>
      <c r="U101" s="781"/>
      <c r="V101" s="781"/>
      <c r="W101" s="781"/>
      <c r="X101" s="781"/>
      <c r="Y101" s="819"/>
    </row>
    <row r="102" spans="1:25" ht="23.1" customHeight="1">
      <c r="A102" s="975"/>
      <c r="C102" s="47"/>
      <c r="D102" s="1248" t="s">
        <v>800</v>
      </c>
      <c r="E102" s="1249"/>
      <c r="F102" s="899"/>
      <c r="G102" s="947"/>
      <c r="H102" s="746"/>
      <c r="I102" s="747"/>
      <c r="J102" s="39"/>
      <c r="L102" s="818"/>
      <c r="M102" s="781"/>
      <c r="N102" s="781"/>
      <c r="O102" s="781"/>
      <c r="P102" s="781"/>
      <c r="Q102" s="781"/>
      <c r="R102" s="781"/>
      <c r="S102" s="781"/>
      <c r="T102" s="781"/>
      <c r="U102" s="781"/>
      <c r="V102" s="781"/>
      <c r="W102" s="781"/>
      <c r="X102" s="781"/>
      <c r="Y102" s="819"/>
    </row>
    <row r="103" spans="1:25" s="80" customFormat="1" ht="23.1" customHeight="1">
      <c r="A103" s="975"/>
      <c r="B103" s="970"/>
      <c r="C103" s="47"/>
      <c r="D103" s="930" t="s">
        <v>801</v>
      </c>
      <c r="E103" s="926"/>
      <c r="F103" s="920" t="s">
        <v>9</v>
      </c>
      <c r="G103" s="921"/>
      <c r="H103" s="927"/>
      <c r="I103" s="928"/>
      <c r="J103" s="39"/>
      <c r="K103" s="970"/>
      <c r="L103" s="818"/>
      <c r="M103" s="781"/>
      <c r="N103" s="781"/>
      <c r="O103" s="781"/>
      <c r="P103" s="781"/>
      <c r="Q103" s="781"/>
      <c r="R103" s="781"/>
      <c r="S103" s="781"/>
      <c r="T103" s="781"/>
      <c r="U103" s="781"/>
      <c r="V103" s="781"/>
      <c r="W103" s="781"/>
      <c r="X103" s="781"/>
      <c r="Y103" s="819"/>
    </row>
    <row r="104" spans="1:25" ht="23.1" customHeight="1">
      <c r="A104" s="975"/>
      <c r="C104" s="47"/>
      <c r="D104" s="930" t="s">
        <v>802</v>
      </c>
      <c r="E104" s="926"/>
      <c r="F104" s="920" t="s">
        <v>9</v>
      </c>
      <c r="G104" s="921"/>
      <c r="H104" s="927"/>
      <c r="I104" s="928"/>
      <c r="J104" s="39"/>
      <c r="L104" s="818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819"/>
    </row>
    <row r="105" spans="1:25" ht="23.1" customHeight="1">
      <c r="A105" s="975"/>
      <c r="C105" s="47"/>
      <c r="D105" s="930" t="s">
        <v>803</v>
      </c>
      <c r="E105" s="926"/>
      <c r="F105" s="920" t="s">
        <v>9</v>
      </c>
      <c r="G105" s="921"/>
      <c r="H105" s="927"/>
      <c r="I105" s="928"/>
      <c r="J105" s="39"/>
      <c r="L105" s="818"/>
      <c r="M105" s="781"/>
      <c r="N105" s="781"/>
      <c r="O105" s="781"/>
      <c r="P105" s="781"/>
      <c r="Q105" s="781"/>
      <c r="R105" s="781"/>
      <c r="S105" s="781"/>
      <c r="T105" s="781"/>
      <c r="U105" s="781"/>
      <c r="V105" s="781"/>
      <c r="W105" s="781"/>
      <c r="X105" s="781"/>
      <c r="Y105" s="819"/>
    </row>
    <row r="106" spans="1:25" ht="23.1" customHeight="1">
      <c r="A106" s="975"/>
      <c r="C106" s="47"/>
      <c r="D106" s="930" t="s">
        <v>804</v>
      </c>
      <c r="E106" s="926"/>
      <c r="F106" s="920" t="s">
        <v>9</v>
      </c>
      <c r="G106" s="921"/>
      <c r="H106" s="927"/>
      <c r="I106" s="928"/>
      <c r="J106" s="39"/>
      <c r="L106" s="818"/>
      <c r="M106" s="781"/>
      <c r="N106" s="781"/>
      <c r="O106" s="781"/>
      <c r="P106" s="781"/>
      <c r="Q106" s="781"/>
      <c r="R106" s="781"/>
      <c r="S106" s="781"/>
      <c r="T106" s="781"/>
      <c r="U106" s="781"/>
      <c r="V106" s="781"/>
      <c r="W106" s="781"/>
      <c r="X106" s="781"/>
      <c r="Y106" s="819"/>
    </row>
    <row r="107" spans="1:25" ht="23.1" customHeight="1">
      <c r="A107" s="975"/>
      <c r="C107" s="47"/>
      <c r="D107" s="930" t="s">
        <v>805</v>
      </c>
      <c r="E107" s="926"/>
      <c r="F107" s="920" t="s">
        <v>8</v>
      </c>
      <c r="G107" s="921"/>
      <c r="H107" s="927"/>
      <c r="I107" s="928"/>
      <c r="J107" s="39"/>
      <c r="L107" s="818"/>
      <c r="M107" s="781"/>
      <c r="N107" s="781"/>
      <c r="O107" s="781"/>
      <c r="P107" s="781"/>
      <c r="Q107" s="781"/>
      <c r="R107" s="781"/>
      <c r="S107" s="781"/>
      <c r="T107" s="781"/>
      <c r="U107" s="781"/>
      <c r="V107" s="781"/>
      <c r="W107" s="781"/>
      <c r="X107" s="781"/>
      <c r="Y107" s="819"/>
    </row>
    <row r="108" spans="1:25" ht="23.1" customHeight="1">
      <c r="A108" s="975"/>
      <c r="C108" s="47"/>
      <c r="D108" s="930" t="s">
        <v>806</v>
      </c>
      <c r="E108" s="926"/>
      <c r="F108" s="920" t="s">
        <v>8</v>
      </c>
      <c r="G108" s="921"/>
      <c r="H108" s="927"/>
      <c r="I108" s="928"/>
      <c r="J108" s="39"/>
      <c r="L108" s="818"/>
      <c r="M108" s="781"/>
      <c r="N108" s="781"/>
      <c r="O108" s="781"/>
      <c r="P108" s="781"/>
      <c r="Q108" s="781"/>
      <c r="R108" s="781"/>
      <c r="S108" s="781"/>
      <c r="T108" s="781"/>
      <c r="U108" s="781"/>
      <c r="V108" s="781"/>
      <c r="W108" s="781"/>
      <c r="X108" s="781"/>
      <c r="Y108" s="819"/>
    </row>
    <row r="109" spans="1:25" ht="23.1" customHeight="1">
      <c r="A109" s="975"/>
      <c r="C109" s="47"/>
      <c r="D109" s="930" t="s">
        <v>807</v>
      </c>
      <c r="E109" s="926"/>
      <c r="F109" s="920" t="s">
        <v>8</v>
      </c>
      <c r="G109" s="921"/>
      <c r="H109" s="927"/>
      <c r="I109" s="928"/>
      <c r="J109" s="39"/>
      <c r="L109" s="818"/>
      <c r="M109" s="781"/>
      <c r="N109" s="781"/>
      <c r="O109" s="781"/>
      <c r="P109" s="781"/>
      <c r="Q109" s="781"/>
      <c r="R109" s="781"/>
      <c r="S109" s="781"/>
      <c r="T109" s="781"/>
      <c r="U109" s="781"/>
      <c r="V109" s="781"/>
      <c r="W109" s="781"/>
      <c r="X109" s="781"/>
      <c r="Y109" s="819"/>
    </row>
    <row r="110" spans="1:25" ht="23.1" customHeight="1">
      <c r="A110" s="975"/>
      <c r="C110" s="47"/>
      <c r="D110" s="930" t="s">
        <v>808</v>
      </c>
      <c r="E110" s="926"/>
      <c r="F110" s="920" t="s">
        <v>8</v>
      </c>
      <c r="G110" s="921"/>
      <c r="H110" s="927"/>
      <c r="I110" s="928"/>
      <c r="J110" s="39"/>
      <c r="L110" s="818"/>
      <c r="M110" s="781"/>
      <c r="N110" s="781"/>
      <c r="O110" s="781"/>
      <c r="P110" s="781"/>
      <c r="Q110" s="781"/>
      <c r="R110" s="781"/>
      <c r="S110" s="781"/>
      <c r="T110" s="781"/>
      <c r="U110" s="781"/>
      <c r="V110" s="781"/>
      <c r="W110" s="781"/>
      <c r="X110" s="781"/>
      <c r="Y110" s="819"/>
    </row>
    <row r="111" spans="1:25" ht="24.95" customHeight="1" thickBot="1">
      <c r="A111" s="975"/>
      <c r="C111" s="935"/>
      <c r="D111" s="1227"/>
      <c r="E111" s="1229"/>
      <c r="F111" s="898"/>
      <c r="G111" s="100" t="s">
        <v>629</v>
      </c>
      <c r="H111" s="70">
        <f>SUM(H67:H110)</f>
        <v>0</v>
      </c>
      <c r="I111" s="70">
        <f>SUM(I67:I110)</f>
        <v>0</v>
      </c>
      <c r="J111" s="936"/>
      <c r="L111" s="818"/>
      <c r="M111" s="781"/>
      <c r="N111" s="781"/>
      <c r="O111" s="781"/>
      <c r="P111" s="781"/>
      <c r="Q111" s="781"/>
      <c r="R111" s="781"/>
      <c r="S111" s="781"/>
      <c r="T111" s="781"/>
      <c r="U111" s="781"/>
      <c r="V111" s="781"/>
      <c r="W111" s="781"/>
      <c r="X111" s="781"/>
      <c r="Y111" s="819"/>
    </row>
    <row r="112" spans="1:25" ht="18">
      <c r="A112" s="975"/>
      <c r="C112" s="47"/>
      <c r="D112" s="632"/>
      <c r="E112" s="632"/>
      <c r="F112" s="632"/>
      <c r="G112" s="99"/>
      <c r="H112" s="99"/>
      <c r="I112" s="31"/>
      <c r="J112" s="39"/>
      <c r="L112" s="818"/>
      <c r="M112" s="781"/>
      <c r="N112" s="781"/>
      <c r="O112" s="781"/>
      <c r="P112" s="781"/>
      <c r="Q112" s="781"/>
      <c r="R112" s="781"/>
      <c r="S112" s="781"/>
      <c r="T112" s="781"/>
      <c r="U112" s="781"/>
      <c r="V112" s="781"/>
      <c r="W112" s="781"/>
      <c r="X112" s="781"/>
      <c r="Y112" s="819"/>
    </row>
    <row r="113" spans="1:25" ht="18">
      <c r="A113" s="975"/>
      <c r="C113" s="47"/>
      <c r="D113" s="68" t="s">
        <v>179</v>
      </c>
      <c r="E113" s="632"/>
      <c r="F113" s="632"/>
      <c r="G113" s="99"/>
      <c r="H113" s="99"/>
      <c r="I113" s="31"/>
      <c r="J113" s="39"/>
      <c r="L113" s="818"/>
      <c r="M113" s="781"/>
      <c r="N113" s="781"/>
      <c r="O113" s="781"/>
      <c r="P113" s="781"/>
      <c r="Q113" s="781"/>
      <c r="R113" s="781"/>
      <c r="S113" s="781"/>
      <c r="T113" s="781"/>
      <c r="U113" s="781"/>
      <c r="V113" s="781"/>
      <c r="W113" s="781"/>
      <c r="X113" s="781"/>
      <c r="Y113" s="819"/>
    </row>
    <row r="114" spans="1:25" ht="18">
      <c r="A114" s="975"/>
      <c r="C114" s="47"/>
      <c r="D114" s="66" t="s">
        <v>812</v>
      </c>
      <c r="E114" s="632"/>
      <c r="F114" s="632"/>
      <c r="G114" s="99"/>
      <c r="H114" s="99"/>
      <c r="I114" s="31"/>
      <c r="J114" s="39"/>
      <c r="L114" s="818"/>
      <c r="M114" s="781"/>
      <c r="N114" s="781"/>
      <c r="O114" s="781"/>
      <c r="P114" s="781"/>
      <c r="Q114" s="781"/>
      <c r="R114" s="781"/>
      <c r="S114" s="781"/>
      <c r="T114" s="781"/>
      <c r="U114" s="781"/>
      <c r="V114" s="781"/>
      <c r="W114" s="781"/>
      <c r="X114" s="781"/>
      <c r="Y114" s="819"/>
    </row>
    <row r="115" spans="1:25" s="744" customFormat="1" ht="18">
      <c r="A115" s="975"/>
      <c r="C115" s="47"/>
      <c r="D115" s="66" t="s">
        <v>813</v>
      </c>
      <c r="E115" s="632"/>
      <c r="F115" s="632"/>
      <c r="G115" s="99"/>
      <c r="H115" s="99"/>
      <c r="I115" s="31"/>
      <c r="J115" s="39"/>
      <c r="L115" s="818"/>
      <c r="M115" s="781"/>
      <c r="N115" s="781"/>
      <c r="O115" s="781"/>
      <c r="P115" s="781"/>
      <c r="Q115" s="781"/>
      <c r="R115" s="781"/>
      <c r="S115" s="781"/>
      <c r="T115" s="781"/>
      <c r="U115" s="781"/>
      <c r="V115" s="781"/>
      <c r="W115" s="781"/>
      <c r="X115" s="781"/>
      <c r="Y115" s="819"/>
    </row>
    <row r="116" spans="1:25" s="744" customFormat="1" ht="18">
      <c r="A116" s="975"/>
      <c r="C116" s="47"/>
      <c r="D116" s="66" t="s">
        <v>814</v>
      </c>
      <c r="E116" s="632"/>
      <c r="F116" s="632"/>
      <c r="G116" s="99"/>
      <c r="H116" s="99"/>
      <c r="I116" s="31"/>
      <c r="J116" s="39"/>
      <c r="L116" s="818"/>
      <c r="M116" s="781"/>
      <c r="N116" s="781"/>
      <c r="O116" s="781"/>
      <c r="P116" s="781"/>
      <c r="Q116" s="781"/>
      <c r="R116" s="781"/>
      <c r="S116" s="781"/>
      <c r="T116" s="781"/>
      <c r="U116" s="781"/>
      <c r="V116" s="781"/>
      <c r="W116" s="781"/>
      <c r="X116" s="781"/>
      <c r="Y116" s="819"/>
    </row>
    <row r="117" spans="1:25" s="744" customFormat="1" ht="18">
      <c r="A117" s="975"/>
      <c r="C117" s="47"/>
      <c r="D117" s="66" t="s">
        <v>815</v>
      </c>
      <c r="E117" s="632"/>
      <c r="F117" s="632"/>
      <c r="G117" s="99"/>
      <c r="H117" s="99"/>
      <c r="I117" s="31"/>
      <c r="J117" s="39"/>
      <c r="L117" s="818"/>
      <c r="M117" s="781"/>
      <c r="N117" s="781"/>
      <c r="O117" s="781"/>
      <c r="P117" s="781"/>
      <c r="Q117" s="781"/>
      <c r="R117" s="781"/>
      <c r="S117" s="781"/>
      <c r="T117" s="781"/>
      <c r="U117" s="781"/>
      <c r="V117" s="781"/>
      <c r="W117" s="781"/>
      <c r="X117" s="781"/>
      <c r="Y117" s="819"/>
    </row>
    <row r="118" spans="1:25" s="744" customFormat="1" ht="18">
      <c r="A118" s="975"/>
      <c r="C118" s="47"/>
      <c r="D118" s="66" t="s">
        <v>816</v>
      </c>
      <c r="E118" s="632"/>
      <c r="F118" s="632"/>
      <c r="G118" s="99"/>
      <c r="H118" s="99"/>
      <c r="I118" s="31"/>
      <c r="J118" s="39"/>
      <c r="L118" s="818"/>
      <c r="M118" s="781"/>
      <c r="N118" s="781"/>
      <c r="O118" s="781"/>
      <c r="P118" s="781"/>
      <c r="Q118" s="781"/>
      <c r="R118" s="781"/>
      <c r="S118" s="781"/>
      <c r="T118" s="781"/>
      <c r="U118" s="781"/>
      <c r="V118" s="781"/>
      <c r="W118" s="781"/>
      <c r="X118" s="781"/>
      <c r="Y118" s="819"/>
    </row>
    <row r="119" spans="1:25" s="744" customFormat="1" ht="18">
      <c r="A119" s="975"/>
      <c r="C119" s="47"/>
      <c r="D119" s="66" t="s">
        <v>817</v>
      </c>
      <c r="E119" s="632"/>
      <c r="F119" s="632"/>
      <c r="G119" s="99"/>
      <c r="H119" s="99"/>
      <c r="I119" s="31"/>
      <c r="J119" s="39"/>
      <c r="L119" s="818"/>
      <c r="M119" s="781"/>
      <c r="N119" s="781"/>
      <c r="O119" s="781"/>
      <c r="P119" s="781"/>
      <c r="Q119" s="781"/>
      <c r="R119" s="781"/>
      <c r="S119" s="781"/>
      <c r="T119" s="781"/>
      <c r="U119" s="781"/>
      <c r="V119" s="781"/>
      <c r="W119" s="781"/>
      <c r="X119" s="781"/>
      <c r="Y119" s="819"/>
    </row>
    <row r="120" spans="1:25" s="744" customFormat="1" ht="18">
      <c r="A120" s="975"/>
      <c r="C120" s="47"/>
      <c r="D120" s="66" t="s">
        <v>818</v>
      </c>
      <c r="E120" s="632"/>
      <c r="F120" s="632"/>
      <c r="G120" s="99"/>
      <c r="H120" s="99"/>
      <c r="I120" s="31"/>
      <c r="J120" s="39"/>
      <c r="L120" s="818"/>
      <c r="M120" s="781"/>
      <c r="N120" s="781"/>
      <c r="O120" s="781"/>
      <c r="P120" s="781"/>
      <c r="Q120" s="781"/>
      <c r="R120" s="781"/>
      <c r="S120" s="781"/>
      <c r="T120" s="781"/>
      <c r="U120" s="781"/>
      <c r="V120" s="781"/>
      <c r="W120" s="781"/>
      <c r="X120" s="781"/>
      <c r="Y120" s="819"/>
    </row>
    <row r="121" spans="1:25" s="744" customFormat="1" ht="18">
      <c r="A121" s="975"/>
      <c r="C121" s="47"/>
      <c r="D121" s="905" t="s">
        <v>819</v>
      </c>
      <c r="E121" s="66"/>
      <c r="F121" s="66"/>
      <c r="G121" s="67"/>
      <c r="H121" s="67"/>
      <c r="I121" s="31"/>
      <c r="J121" s="39"/>
      <c r="L121" s="818"/>
      <c r="M121" s="781"/>
      <c r="N121" s="781"/>
      <c r="O121" s="781"/>
      <c r="P121" s="781"/>
      <c r="Q121" s="781"/>
      <c r="R121" s="781"/>
      <c r="S121" s="781"/>
      <c r="T121" s="781"/>
      <c r="U121" s="781"/>
      <c r="V121" s="781"/>
      <c r="W121" s="781"/>
      <c r="X121" s="781"/>
      <c r="Y121" s="819"/>
    </row>
    <row r="122" spans="1:25" s="744" customFormat="1" ht="15.75" thickBot="1">
      <c r="A122" s="975"/>
      <c r="C122" s="50"/>
      <c r="D122" s="1148"/>
      <c r="E122" s="1148"/>
      <c r="F122" s="26"/>
      <c r="G122" s="26"/>
      <c r="H122" s="26"/>
      <c r="I122" s="51"/>
      <c r="J122" s="52"/>
      <c r="L122" s="820"/>
      <c r="M122" s="821"/>
      <c r="N122" s="821"/>
      <c r="O122" s="821"/>
      <c r="P122" s="821"/>
      <c r="Q122" s="821"/>
      <c r="R122" s="821"/>
      <c r="S122" s="821"/>
      <c r="T122" s="821"/>
      <c r="U122" s="821"/>
      <c r="V122" s="821"/>
      <c r="W122" s="821"/>
      <c r="X122" s="821"/>
      <c r="Y122" s="822"/>
    </row>
    <row r="123" spans="1:25" s="744" customFormat="1" ht="15">
      <c r="A123" s="369"/>
      <c r="C123" s="32"/>
      <c r="D123" s="32"/>
      <c r="E123" s="32"/>
      <c r="F123" s="32"/>
      <c r="G123" s="33"/>
      <c r="H123" s="33"/>
      <c r="I123" s="33"/>
      <c r="J123" s="32"/>
      <c r="K123" s="32" t="s">
        <v>140</v>
      </c>
    </row>
    <row r="124" spans="1:25" s="744" customFormat="1" ht="15">
      <c r="A124" s="369"/>
      <c r="C124" s="32"/>
      <c r="D124" s="53" t="s">
        <v>39</v>
      </c>
      <c r="E124" s="32"/>
      <c r="F124" s="32"/>
      <c r="G124" s="33"/>
      <c r="H124" s="33"/>
      <c r="I124" s="30" t="s">
        <v>820</v>
      </c>
      <c r="J124" s="32"/>
    </row>
    <row r="125" spans="1:25" s="744" customFormat="1" ht="15">
      <c r="A125" s="369"/>
      <c r="C125" s="32"/>
      <c r="D125" s="53" t="s">
        <v>41</v>
      </c>
      <c r="E125" s="32"/>
      <c r="F125" s="32"/>
      <c r="G125" s="33"/>
      <c r="H125" s="33"/>
      <c r="I125" s="33"/>
      <c r="J125" s="32"/>
    </row>
    <row r="126" spans="1:25" s="744" customFormat="1" ht="15">
      <c r="A126" s="369"/>
      <c r="C126" s="32"/>
      <c r="D126" s="53" t="s">
        <v>42</v>
      </c>
      <c r="E126" s="32"/>
      <c r="F126" s="32"/>
      <c r="G126" s="33"/>
      <c r="H126" s="33"/>
      <c r="I126" s="33"/>
      <c r="J126" s="32"/>
    </row>
    <row r="127" spans="1:25" s="744" customFormat="1" ht="15">
      <c r="A127" s="369"/>
      <c r="C127" s="32"/>
      <c r="D127" s="53" t="s">
        <v>43</v>
      </c>
      <c r="E127" s="32"/>
      <c r="F127" s="32"/>
      <c r="G127" s="33"/>
      <c r="H127" s="33"/>
      <c r="I127" s="33"/>
      <c r="J127" s="32"/>
    </row>
    <row r="128" spans="1:25" s="744" customFormat="1" ht="15">
      <c r="A128" s="369"/>
      <c r="C128" s="32"/>
      <c r="D128" s="53" t="s">
        <v>44</v>
      </c>
      <c r="E128" s="32"/>
      <c r="F128" s="32"/>
      <c r="G128" s="33"/>
      <c r="H128" s="33"/>
      <c r="I128" s="33"/>
      <c r="J128" s="32"/>
    </row>
    <row r="129" spans="1:9" s="744" customFormat="1" ht="15">
      <c r="A129" s="369"/>
      <c r="D129" s="32"/>
      <c r="E129" s="32"/>
      <c r="F129" s="32"/>
      <c r="H129" s="745"/>
      <c r="I129" s="745"/>
    </row>
    <row r="130" spans="1:9" s="744" customFormat="1" ht="15">
      <c r="A130" s="369"/>
      <c r="D130" s="32"/>
      <c r="E130" s="32"/>
      <c r="F130" s="32"/>
      <c r="H130" s="745"/>
      <c r="I130" s="745"/>
    </row>
    <row r="131" spans="1:9" s="744" customFormat="1" ht="15">
      <c r="A131" s="369"/>
      <c r="D131" s="32"/>
      <c r="E131" s="32"/>
      <c r="F131" s="32"/>
      <c r="H131" s="745"/>
      <c r="I131" s="745"/>
    </row>
    <row r="132" spans="1:9" s="744" customFormat="1" ht="15">
      <c r="A132" s="369"/>
      <c r="D132" s="32"/>
      <c r="E132" s="32"/>
      <c r="F132" s="32"/>
      <c r="H132" s="745"/>
      <c r="I132" s="745"/>
    </row>
    <row r="133" spans="1:9" s="744" customFormat="1" ht="15">
      <c r="A133" s="369"/>
      <c r="D133" s="32"/>
      <c r="E133" s="32"/>
      <c r="F133" s="32"/>
      <c r="H133" s="745"/>
      <c r="I133" s="745"/>
    </row>
    <row r="134" spans="1:9" s="744" customFormat="1" ht="15">
      <c r="A134" s="369"/>
      <c r="D134" s="32"/>
      <c r="E134" s="32"/>
      <c r="F134" s="32"/>
      <c r="H134" s="745"/>
      <c r="I134" s="745"/>
    </row>
    <row r="135" spans="1:9" s="744" customFormat="1" ht="15">
      <c r="A135" s="369"/>
      <c r="D135" s="32"/>
      <c r="E135" s="32"/>
      <c r="F135" s="32"/>
      <c r="H135" s="745"/>
      <c r="I135" s="745"/>
    </row>
    <row r="136" spans="1:9" s="744" customFormat="1" ht="15">
      <c r="A136" s="369"/>
      <c r="D136" s="32"/>
      <c r="E136" s="32"/>
      <c r="F136" s="32"/>
      <c r="H136" s="745"/>
      <c r="I136" s="745"/>
    </row>
    <row r="137" spans="1:9" s="744" customFormat="1" ht="15">
      <c r="A137" s="369"/>
      <c r="D137" s="32"/>
      <c r="E137" s="32"/>
      <c r="F137" s="32"/>
      <c r="H137" s="745"/>
      <c r="I137" s="745"/>
    </row>
    <row r="138" spans="1:9" s="744" customFormat="1" ht="15">
      <c r="A138" s="369"/>
      <c r="D138" s="32"/>
      <c r="E138" s="32"/>
      <c r="F138" s="32"/>
      <c r="H138" s="745"/>
      <c r="I138" s="745"/>
    </row>
    <row r="139" spans="1:9" s="744" customFormat="1" ht="15">
      <c r="A139" s="369"/>
      <c r="D139" s="32"/>
      <c r="E139" s="32"/>
      <c r="F139" s="32"/>
      <c r="H139" s="745"/>
      <c r="I139" s="745"/>
    </row>
    <row r="140" spans="1:9" s="744" customFormat="1" ht="15">
      <c r="A140" s="369"/>
      <c r="D140" s="32"/>
      <c r="E140" s="32"/>
      <c r="F140" s="32"/>
      <c r="H140" s="745"/>
      <c r="I140" s="745"/>
    </row>
    <row r="141" spans="1:9" s="744" customFormat="1" ht="15">
      <c r="A141" s="369"/>
      <c r="D141" s="32"/>
      <c r="E141" s="32"/>
      <c r="F141" s="32"/>
      <c r="H141" s="745"/>
      <c r="I141" s="745"/>
    </row>
    <row r="142" spans="1:9" s="744" customFormat="1" ht="15">
      <c r="A142" s="369"/>
      <c r="D142" s="32"/>
      <c r="E142" s="32"/>
      <c r="F142" s="32"/>
      <c r="H142" s="745"/>
      <c r="I142" s="745"/>
    </row>
    <row r="143" spans="1:9" s="744" customFormat="1" ht="15">
      <c r="A143" s="369"/>
      <c r="D143" s="32"/>
      <c r="E143" s="32"/>
      <c r="F143" s="32"/>
      <c r="H143" s="745"/>
      <c r="I143" s="745"/>
    </row>
    <row r="144" spans="1:9" s="744" customFormat="1" ht="15">
      <c r="A144" s="369"/>
      <c r="D144" s="32"/>
      <c r="E144" s="32"/>
      <c r="F144" s="32"/>
      <c r="H144" s="745"/>
      <c r="I144" s="745"/>
    </row>
    <row r="145" spans="1:9" s="744" customFormat="1" ht="15">
      <c r="A145" s="369"/>
      <c r="D145" s="32"/>
      <c r="E145" s="32"/>
      <c r="F145" s="32"/>
      <c r="H145" s="745"/>
      <c r="I145" s="745"/>
    </row>
    <row r="146" spans="1:9" s="744" customFormat="1" ht="15">
      <c r="A146" s="369"/>
      <c r="D146" s="32"/>
      <c r="E146" s="32"/>
      <c r="F146" s="32"/>
      <c r="H146" s="745"/>
      <c r="I146" s="745"/>
    </row>
    <row r="147" spans="1:9" s="744" customFormat="1" ht="15">
      <c r="A147" s="369"/>
      <c r="D147" s="32"/>
      <c r="E147" s="32"/>
      <c r="F147" s="32"/>
      <c r="H147" s="745"/>
      <c r="I147" s="745"/>
    </row>
    <row r="148" spans="1:9" s="744" customFormat="1" ht="15">
      <c r="A148" s="369"/>
      <c r="D148" s="32"/>
      <c r="E148" s="32"/>
      <c r="F148" s="32"/>
      <c r="H148" s="745"/>
      <c r="I148" s="745"/>
    </row>
    <row r="149" spans="1:9" s="744" customFormat="1" ht="15">
      <c r="A149" s="369"/>
      <c r="D149" s="32"/>
      <c r="E149" s="32"/>
      <c r="F149" s="32"/>
      <c r="H149" s="745"/>
      <c r="I149" s="745"/>
    </row>
    <row r="150" spans="1:9" s="744" customFormat="1" ht="15">
      <c r="A150" s="369"/>
      <c r="D150" s="32"/>
      <c r="E150" s="32"/>
      <c r="F150" s="32"/>
      <c r="H150" s="745"/>
      <c r="I150" s="745"/>
    </row>
    <row r="151" spans="1:9" s="744" customFormat="1" ht="15">
      <c r="A151" s="369"/>
      <c r="D151" s="32"/>
      <c r="E151" s="32"/>
      <c r="F151" s="32"/>
      <c r="H151" s="745"/>
      <c r="I151" s="745"/>
    </row>
    <row r="152" spans="1:9" s="744" customFormat="1" ht="15">
      <c r="A152" s="369"/>
      <c r="D152" s="32"/>
      <c r="E152" s="32"/>
      <c r="F152" s="32"/>
      <c r="H152" s="745"/>
      <c r="I152" s="745"/>
    </row>
    <row r="153" spans="1:9" s="744" customFormat="1" ht="15">
      <c r="A153" s="369"/>
      <c r="D153" s="32"/>
      <c r="E153" s="32"/>
      <c r="F153" s="32"/>
      <c r="H153" s="745"/>
      <c r="I153" s="745"/>
    </row>
    <row r="154" spans="1:9" s="744" customFormat="1" ht="15">
      <c r="A154" s="369"/>
      <c r="D154" s="32"/>
      <c r="E154" s="32"/>
      <c r="F154" s="32"/>
      <c r="H154" s="745"/>
      <c r="I154" s="745"/>
    </row>
    <row r="155" spans="1:9" s="744" customFormat="1" ht="15">
      <c r="A155" s="369"/>
      <c r="D155" s="32"/>
      <c r="E155" s="32"/>
      <c r="F155" s="32"/>
      <c r="H155" s="745"/>
      <c r="I155" s="745"/>
    </row>
    <row r="156" spans="1:9" s="744" customFormat="1" ht="15">
      <c r="A156" s="369"/>
      <c r="D156" s="32"/>
      <c r="E156" s="32"/>
      <c r="F156" s="32"/>
      <c r="H156" s="745"/>
      <c r="I156" s="745"/>
    </row>
    <row r="157" spans="1:9" s="744" customFormat="1" ht="15">
      <c r="A157" s="369"/>
      <c r="D157" s="32"/>
      <c r="E157" s="32"/>
      <c r="F157" s="32"/>
      <c r="H157" s="745"/>
      <c r="I157" s="745"/>
    </row>
    <row r="158" spans="1:9" s="744" customFormat="1" ht="15">
      <c r="A158" s="369"/>
      <c r="D158" s="32"/>
      <c r="E158" s="32"/>
      <c r="F158" s="32"/>
      <c r="H158" s="745"/>
      <c r="I158" s="745"/>
    </row>
    <row r="159" spans="1:9" s="744" customFormat="1" ht="15">
      <c r="A159" s="369"/>
      <c r="D159" s="32"/>
      <c r="E159" s="32"/>
      <c r="F159" s="32"/>
      <c r="H159" s="745"/>
      <c r="I159" s="745"/>
    </row>
    <row r="160" spans="1:9" s="744" customFormat="1" ht="15">
      <c r="A160" s="369"/>
      <c r="D160" s="32"/>
      <c r="E160" s="32"/>
      <c r="F160" s="32"/>
      <c r="H160" s="745"/>
      <c r="I160" s="745"/>
    </row>
    <row r="161" spans="1:9" s="744" customFormat="1" ht="15">
      <c r="A161" s="369"/>
      <c r="D161" s="32"/>
      <c r="E161" s="32"/>
      <c r="F161" s="32"/>
      <c r="H161" s="745"/>
      <c r="I161" s="745"/>
    </row>
    <row r="162" spans="1:9" s="744" customFormat="1" ht="15">
      <c r="A162" s="369"/>
      <c r="D162" s="32"/>
      <c r="E162" s="32"/>
      <c r="F162" s="32"/>
      <c r="H162" s="745"/>
      <c r="I162" s="745"/>
    </row>
    <row r="163" spans="1:9" s="744" customFormat="1" ht="15">
      <c r="A163" s="369"/>
      <c r="D163" s="32"/>
      <c r="E163" s="32"/>
      <c r="F163" s="32"/>
      <c r="H163" s="745"/>
      <c r="I163" s="745"/>
    </row>
    <row r="164" spans="1:9" s="744" customFormat="1" ht="15">
      <c r="A164" s="369"/>
      <c r="D164" s="32"/>
      <c r="E164" s="32"/>
      <c r="F164" s="32"/>
      <c r="G164" s="745"/>
      <c r="H164" s="745"/>
      <c r="I164" s="745"/>
    </row>
    <row r="165" spans="1:9" s="744" customFormat="1" ht="23.1" customHeight="1">
      <c r="A165" s="369"/>
      <c r="D165" s="32"/>
      <c r="E165" s="32"/>
      <c r="F165" s="32"/>
      <c r="G165" s="745"/>
      <c r="H165" s="745"/>
      <c r="I165" s="745"/>
    </row>
    <row r="166" spans="1:9" s="744" customFormat="1" ht="23.1" customHeight="1">
      <c r="A166" s="369"/>
      <c r="D166" s="32"/>
      <c r="E166" s="32"/>
      <c r="F166" s="32"/>
      <c r="G166" s="745"/>
      <c r="H166" s="745"/>
      <c r="I166" s="745"/>
    </row>
    <row r="167" spans="1:9" s="744" customFormat="1" ht="23.1" customHeight="1">
      <c r="A167" s="369"/>
      <c r="D167" s="32"/>
      <c r="E167" s="32"/>
      <c r="F167" s="32"/>
      <c r="G167" s="745"/>
      <c r="H167" s="745"/>
      <c r="I167" s="745"/>
    </row>
    <row r="168" spans="1:9" s="744" customFormat="1" ht="23.1" customHeight="1">
      <c r="A168" s="369"/>
      <c r="D168" s="32"/>
      <c r="E168" s="32"/>
      <c r="F168" s="32"/>
      <c r="G168" s="745"/>
      <c r="H168" s="745"/>
      <c r="I168" s="745"/>
    </row>
    <row r="169" spans="1:9" s="744" customFormat="1" ht="23.1" customHeight="1">
      <c r="A169" s="369"/>
      <c r="D169" s="32"/>
      <c r="E169" s="32"/>
      <c r="F169" s="32"/>
      <c r="G169" s="745"/>
      <c r="H169" s="745"/>
      <c r="I169" s="745"/>
    </row>
  </sheetData>
  <sheetProtection algorithmName="SHA-512" hashValue="+pfr4R18Ec3sqOhWLhn18XzYsinPhEOhPRFPXS6yYh3xZS5g5aIKcaL3XHsGqLv3bH3fOxSbA/d1LeO8oCeVOg==" saltValue="/Z603AiH+IId7ZX0Kwx6SQ==" spinCount="100000" sheet="1" insertRows="0"/>
  <mergeCells count="16">
    <mergeCell ref="D122:E122"/>
    <mergeCell ref="D66:E66"/>
    <mergeCell ref="D87:E87"/>
    <mergeCell ref="D102:E102"/>
    <mergeCell ref="D111:E111"/>
    <mergeCell ref="D52:E52"/>
    <mergeCell ref="D61:E61"/>
    <mergeCell ref="D63:I63"/>
    <mergeCell ref="D65:E65"/>
    <mergeCell ref="D16:E16"/>
    <mergeCell ref="D37:E37"/>
    <mergeCell ref="I6:I7"/>
    <mergeCell ref="E9:I9"/>
    <mergeCell ref="D12:E12"/>
    <mergeCell ref="D13:I13"/>
    <mergeCell ref="D15:E15"/>
  </mergeCells>
  <phoneticPr fontId="16" type="noConversion"/>
  <dataValidations count="4">
    <dataValidation showDropDown="1" showInputMessage="1" showErrorMessage="1" sqref="D48:D51 D98:D101" xr:uid="{00000000-0002-0000-1000-000000000000}"/>
    <dataValidation type="list" showDropDown="1" showInputMessage="1" showErrorMessage="1" sqref="D78:D86 D19:D36" xr:uid="{00000000-0002-0000-1000-000001000000}">
      <formula1>$D$131:$D$151</formula1>
    </dataValidation>
    <dataValidation type="list" showDropDown="1" showInputMessage="1" showErrorMessage="1" sqref="D53:D60 D49:D51 D35:D36 D103:D110 D85:D86 D99:D101" xr:uid="{00000000-0002-0000-1000-000002000000}">
      <formula1>$D$169:$D$177</formula1>
    </dataValidation>
    <dataValidation type="list" showDropDown="1" showInputMessage="1" showErrorMessage="1" sqref="D38:D47 D92:D97" xr:uid="{00000000-0002-0000-1000-000003000000}">
      <formula1>$D$153:$D$167</formula1>
    </dataValidation>
  </dataValidations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2:Y77"/>
  <sheetViews>
    <sheetView zoomScale="55" zoomScaleNormal="55" workbookViewId="0">
      <selection activeCell="C17" sqref="C17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5" width="13.5546875" style="32" customWidth="1"/>
    <col min="6" max="6" width="99.5546875" style="32" customWidth="1"/>
    <col min="7" max="9" width="17.6640625" style="33" customWidth="1"/>
    <col min="10" max="10" width="3.33203125" style="32" customWidth="1"/>
    <col min="11" max="16384" width="10.6640625" style="32"/>
  </cols>
  <sheetData>
    <row r="2" spans="1:25" ht="23.1" customHeight="1">
      <c r="A2" s="369"/>
      <c r="F2" s="347" t="str">
        <f>_GENERAL!D2</f>
        <v>Área de Presidencia, Hacienda y Modernización</v>
      </c>
    </row>
    <row r="3" spans="1:25" ht="23.1" customHeight="1">
      <c r="A3" s="369"/>
      <c r="F3" s="347" t="str">
        <f>_GENERAL!D3</f>
        <v>Dirección Insular de Hacienda</v>
      </c>
    </row>
    <row r="4" spans="1:25" ht="23.1" customHeight="1" thickBot="1">
      <c r="A4" s="369"/>
      <c r="B4" s="32" t="s">
        <v>100</v>
      </c>
    </row>
    <row r="5" spans="1:25" ht="9" customHeight="1">
      <c r="A5" s="975"/>
      <c r="C5" s="34"/>
      <c r="D5" s="35"/>
      <c r="E5" s="35"/>
      <c r="F5" s="35"/>
      <c r="G5" s="36"/>
      <c r="H5" s="36"/>
      <c r="I5" s="36"/>
      <c r="J5" s="37"/>
      <c r="L5" s="757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</row>
    <row r="6" spans="1:25" ht="30" customHeight="1">
      <c r="A6" s="975"/>
      <c r="C6" s="38"/>
      <c r="D6" s="29" t="s">
        <v>2</v>
      </c>
      <c r="E6" s="29"/>
      <c r="I6" s="1140">
        <f>ejercicio</f>
        <v>2022</v>
      </c>
      <c r="J6" s="39"/>
      <c r="L6" s="174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7"/>
    </row>
    <row r="7" spans="1:25" ht="30" customHeight="1">
      <c r="A7" s="975"/>
      <c r="C7" s="38"/>
      <c r="D7" s="29" t="s">
        <v>3</v>
      </c>
      <c r="E7" s="29"/>
      <c r="I7" s="1140"/>
      <c r="J7" s="39"/>
      <c r="L7" s="178"/>
      <c r="M7" s="175" t="s">
        <v>101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0"/>
    </row>
    <row r="8" spans="1:25" ht="30" customHeight="1">
      <c r="A8" s="975"/>
      <c r="C8" s="38"/>
      <c r="D8" s="40"/>
      <c r="E8" s="40"/>
      <c r="I8" s="41"/>
      <c r="J8" s="39"/>
      <c r="L8" s="818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819"/>
    </row>
    <row r="9" spans="1:25" s="80" customFormat="1" ht="30" customHeight="1">
      <c r="A9" s="900" t="s">
        <v>46</v>
      </c>
      <c r="B9" s="970"/>
      <c r="C9" s="935"/>
      <c r="D9" s="22" t="s">
        <v>47</v>
      </c>
      <c r="E9" s="22"/>
      <c r="F9" s="1149" t="str">
        <f>Entidad</f>
        <v>FUNDACION CANARIA TENERIFE RURAL</v>
      </c>
      <c r="G9" s="1149"/>
      <c r="H9" s="1149"/>
      <c r="I9" s="1149"/>
      <c r="J9" s="936"/>
      <c r="K9" s="970"/>
      <c r="L9" s="818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819"/>
    </row>
    <row r="10" spans="1:25" ht="6.95" customHeight="1">
      <c r="A10" s="975"/>
      <c r="C10" s="38"/>
      <c r="J10" s="39"/>
      <c r="L10" s="818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819"/>
    </row>
    <row r="11" spans="1:25" s="46" customFormat="1" ht="30" customHeight="1">
      <c r="A11" s="901"/>
      <c r="C11" s="42"/>
      <c r="D11" s="43" t="s">
        <v>821</v>
      </c>
      <c r="E11" s="43"/>
      <c r="F11" s="43"/>
      <c r="G11" s="44"/>
      <c r="H11" s="44"/>
      <c r="I11" s="44"/>
      <c r="J11" s="45"/>
      <c r="L11" s="818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819"/>
    </row>
    <row r="12" spans="1:25" s="46" customFormat="1" ht="30" customHeight="1">
      <c r="A12" s="901"/>
      <c r="C12" s="42"/>
      <c r="D12" s="1160"/>
      <c r="E12" s="1160"/>
      <c r="F12" s="1160"/>
      <c r="G12" s="31"/>
      <c r="H12" s="31"/>
      <c r="I12" s="31"/>
      <c r="J12" s="45"/>
      <c r="L12" s="818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819"/>
    </row>
    <row r="13" spans="1:25" ht="29.1" customHeight="1">
      <c r="A13" s="901"/>
      <c r="C13" s="47"/>
      <c r="D13" s="28" t="s">
        <v>822</v>
      </c>
      <c r="E13" s="28"/>
      <c r="F13" s="604"/>
      <c r="G13" s="31"/>
      <c r="H13" s="31"/>
      <c r="I13" s="131"/>
      <c r="J13" s="39"/>
      <c r="L13" s="818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819"/>
    </row>
    <row r="14" spans="1:25" ht="9" customHeight="1">
      <c r="A14" s="902"/>
      <c r="C14" s="47"/>
      <c r="D14" s="604"/>
      <c r="E14" s="604"/>
      <c r="F14" s="604"/>
      <c r="G14" s="31"/>
      <c r="H14" s="31"/>
      <c r="I14" s="31"/>
      <c r="J14" s="39"/>
      <c r="L14" s="818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819"/>
    </row>
    <row r="15" spans="1:25" s="120" customFormat="1" ht="23.1" customHeight="1">
      <c r="A15" s="903"/>
      <c r="C15" s="121"/>
      <c r="D15" s="86" t="s">
        <v>823</v>
      </c>
      <c r="E15" s="86"/>
      <c r="F15" s="122"/>
      <c r="G15" s="86" t="s">
        <v>612</v>
      </c>
      <c r="H15" s="86" t="s">
        <v>824</v>
      </c>
      <c r="I15" s="86"/>
      <c r="J15" s="123"/>
      <c r="L15" s="818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819"/>
    </row>
    <row r="16" spans="1:25" s="120" customFormat="1" ht="24" customHeight="1">
      <c r="A16" s="903"/>
      <c r="C16" s="121"/>
      <c r="D16" s="126" t="s">
        <v>825</v>
      </c>
      <c r="E16" s="126" t="s">
        <v>826</v>
      </c>
      <c r="F16" s="127" t="s">
        <v>680</v>
      </c>
      <c r="G16" s="126" t="s">
        <v>827</v>
      </c>
      <c r="H16" s="126">
        <f>ejercicio</f>
        <v>2022</v>
      </c>
      <c r="I16" s="126" t="s">
        <v>828</v>
      </c>
      <c r="J16" s="123"/>
      <c r="L16" s="818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819"/>
    </row>
    <row r="17" spans="1:25" ht="23.1" customHeight="1">
      <c r="A17" s="903"/>
      <c r="C17" s="47"/>
      <c r="D17" s="675"/>
      <c r="E17" s="675"/>
      <c r="F17" s="367"/>
      <c r="G17" s="654"/>
      <c r="H17" s="654"/>
      <c r="I17" s="1120"/>
      <c r="J17" s="39"/>
      <c r="L17" s="818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819"/>
    </row>
    <row r="18" spans="1:25" ht="23.1" customHeight="1">
      <c r="A18" s="903"/>
      <c r="C18" s="47"/>
      <c r="D18" s="675"/>
      <c r="E18" s="675"/>
      <c r="F18" s="367"/>
      <c r="G18" s="654"/>
      <c r="H18" s="654"/>
      <c r="I18" s="1120"/>
      <c r="J18" s="39"/>
      <c r="L18" s="818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819"/>
    </row>
    <row r="19" spans="1:25" ht="23.1" customHeight="1">
      <c r="A19" s="903"/>
      <c r="C19" s="47"/>
      <c r="D19" s="675"/>
      <c r="E19" s="675"/>
      <c r="F19" s="367"/>
      <c r="G19" s="654"/>
      <c r="H19" s="654"/>
      <c r="I19" s="1120"/>
      <c r="J19" s="39"/>
      <c r="L19" s="818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819"/>
    </row>
    <row r="20" spans="1:25" ht="23.1" customHeight="1">
      <c r="A20" s="903"/>
      <c r="C20" s="47"/>
      <c r="D20" s="675"/>
      <c r="E20" s="675"/>
      <c r="F20" s="367"/>
      <c r="G20" s="654"/>
      <c r="H20" s="654"/>
      <c r="I20" s="1120"/>
      <c r="J20" s="39"/>
      <c r="L20" s="818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819"/>
    </row>
    <row r="21" spans="1:25" ht="23.1" customHeight="1">
      <c r="A21" s="903"/>
      <c r="C21" s="47"/>
      <c r="D21" s="675"/>
      <c r="E21" s="675"/>
      <c r="F21" s="367"/>
      <c r="G21" s="654"/>
      <c r="H21" s="654"/>
      <c r="I21" s="1120"/>
      <c r="J21" s="39"/>
      <c r="L21" s="818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819"/>
    </row>
    <row r="22" spans="1:25" ht="23.1" customHeight="1">
      <c r="A22" s="903"/>
      <c r="C22" s="47"/>
      <c r="D22" s="675"/>
      <c r="E22" s="675"/>
      <c r="F22" s="367"/>
      <c r="G22" s="654"/>
      <c r="H22" s="654"/>
      <c r="I22" s="1120"/>
      <c r="J22" s="39"/>
      <c r="L22" s="818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819"/>
    </row>
    <row r="23" spans="1:25" ht="23.1" customHeight="1">
      <c r="A23" s="903"/>
      <c r="C23" s="47"/>
      <c r="D23" s="675"/>
      <c r="E23" s="675"/>
      <c r="F23" s="367"/>
      <c r="G23" s="654"/>
      <c r="H23" s="654"/>
      <c r="I23" s="1120"/>
      <c r="J23" s="39"/>
      <c r="L23" s="818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819"/>
    </row>
    <row r="24" spans="1:25" ht="23.1" customHeight="1">
      <c r="A24" s="903"/>
      <c r="C24" s="47"/>
      <c r="D24" s="675"/>
      <c r="E24" s="675"/>
      <c r="F24" s="367"/>
      <c r="G24" s="654"/>
      <c r="H24" s="654"/>
      <c r="I24" s="1120"/>
      <c r="J24" s="39"/>
      <c r="L24" s="818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819"/>
    </row>
    <row r="25" spans="1:25" ht="23.1" customHeight="1">
      <c r="A25" s="903"/>
      <c r="C25" s="47"/>
      <c r="D25" s="675"/>
      <c r="E25" s="675"/>
      <c r="F25" s="367"/>
      <c r="G25" s="654"/>
      <c r="H25" s="654"/>
      <c r="I25" s="1120"/>
      <c r="J25" s="39"/>
      <c r="L25" s="818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819"/>
    </row>
    <row r="26" spans="1:25" ht="23.1" customHeight="1">
      <c r="A26" s="903"/>
      <c r="C26" s="47"/>
      <c r="D26" s="675"/>
      <c r="E26" s="675"/>
      <c r="F26" s="367"/>
      <c r="G26" s="654"/>
      <c r="H26" s="654"/>
      <c r="I26" s="1120"/>
      <c r="J26" s="39"/>
      <c r="L26" s="818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819"/>
    </row>
    <row r="27" spans="1:25" ht="23.1" customHeight="1">
      <c r="A27" s="903"/>
      <c r="C27" s="47"/>
      <c r="D27" s="675"/>
      <c r="E27" s="675"/>
      <c r="F27" s="367"/>
      <c r="G27" s="654"/>
      <c r="H27" s="654"/>
      <c r="I27" s="1120"/>
      <c r="J27" s="39"/>
      <c r="L27" s="818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819"/>
    </row>
    <row r="28" spans="1:25" ht="23.1" customHeight="1">
      <c r="A28" s="903"/>
      <c r="C28" s="47"/>
      <c r="D28" s="675"/>
      <c r="E28" s="675"/>
      <c r="F28" s="367"/>
      <c r="G28" s="654"/>
      <c r="H28" s="654"/>
      <c r="I28" s="1120"/>
      <c r="J28" s="39"/>
      <c r="L28" s="818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819"/>
    </row>
    <row r="29" spans="1:25" ht="23.1" customHeight="1">
      <c r="A29" s="903"/>
      <c r="C29" s="47"/>
      <c r="D29" s="675"/>
      <c r="E29" s="675"/>
      <c r="F29" s="367"/>
      <c r="G29" s="654"/>
      <c r="H29" s="654"/>
      <c r="I29" s="1120"/>
      <c r="J29" s="39"/>
      <c r="L29" s="818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819"/>
    </row>
    <row r="30" spans="1:25" ht="23.1" customHeight="1">
      <c r="A30" s="903"/>
      <c r="C30" s="47"/>
      <c r="D30" s="675"/>
      <c r="E30" s="675"/>
      <c r="F30" s="367"/>
      <c r="G30" s="654"/>
      <c r="H30" s="654"/>
      <c r="I30" s="1120"/>
      <c r="J30" s="39"/>
      <c r="L30" s="818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819"/>
    </row>
    <row r="31" spans="1:25" ht="23.1" customHeight="1">
      <c r="A31" s="903"/>
      <c r="C31" s="47"/>
      <c r="D31" s="687"/>
      <c r="E31" s="687"/>
      <c r="F31" s="685"/>
      <c r="G31" s="711"/>
      <c r="H31" s="711"/>
      <c r="I31" s="1121"/>
      <c r="J31" s="39"/>
      <c r="L31" s="818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819"/>
    </row>
    <row r="32" spans="1:25" ht="23.1" customHeight="1">
      <c r="A32" s="903"/>
      <c r="C32" s="47"/>
      <c r="D32" s="690"/>
      <c r="E32" s="690"/>
      <c r="F32" s="691"/>
      <c r="G32" s="721"/>
      <c r="H32" s="721"/>
      <c r="I32" s="1122"/>
      <c r="J32" s="39"/>
      <c r="L32" s="818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819"/>
    </row>
    <row r="33" spans="1:25" ht="23.1" customHeight="1" thickBot="1">
      <c r="A33" s="903"/>
      <c r="C33" s="47"/>
      <c r="D33" s="632"/>
      <c r="E33" s="632"/>
      <c r="F33" s="100" t="s">
        <v>478</v>
      </c>
      <c r="G33" s="70">
        <f>SUM(G17:G32)</f>
        <v>0</v>
      </c>
      <c r="H33" s="70">
        <f>SUM(H17:H32)</f>
        <v>0</v>
      </c>
      <c r="I33" s="31"/>
      <c r="J33" s="39"/>
      <c r="L33" s="818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819"/>
    </row>
    <row r="34" spans="1:25" ht="23.1" customHeight="1">
      <c r="A34" s="903"/>
      <c r="C34" s="47"/>
      <c r="D34" s="632"/>
      <c r="E34" s="632"/>
      <c r="F34" s="632"/>
      <c r="G34" s="99"/>
      <c r="H34" s="99"/>
      <c r="I34" s="31"/>
      <c r="J34" s="39"/>
      <c r="L34" s="818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819"/>
    </row>
    <row r="35" spans="1:25" ht="23.1" customHeight="1" thickBot="1">
      <c r="A35" s="903"/>
      <c r="C35" s="50"/>
      <c r="D35" s="1148"/>
      <c r="E35" s="1148"/>
      <c r="F35" s="1148"/>
      <c r="G35" s="26"/>
      <c r="H35" s="26"/>
      <c r="I35" s="51"/>
      <c r="J35" s="52"/>
      <c r="L35" s="820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821"/>
      <c r="Y35" s="822"/>
    </row>
    <row r="36" spans="1:25" ht="23.1" customHeight="1">
      <c r="A36" s="903"/>
      <c r="K36" s="32" t="s">
        <v>140</v>
      </c>
    </row>
    <row r="37" spans="1:25" ht="15">
      <c r="A37" s="903"/>
      <c r="D37" s="53" t="s">
        <v>39</v>
      </c>
      <c r="E37" s="53"/>
      <c r="I37" s="30" t="s">
        <v>829</v>
      </c>
    </row>
    <row r="38" spans="1:25" ht="15">
      <c r="A38" s="903"/>
      <c r="D38" s="53" t="s">
        <v>41</v>
      </c>
      <c r="E38" s="53"/>
    </row>
    <row r="39" spans="1:25" ht="15">
      <c r="A39" s="903"/>
      <c r="D39" s="53" t="s">
        <v>42</v>
      </c>
      <c r="E39" s="53"/>
    </row>
    <row r="40" spans="1:25" ht="15">
      <c r="A40" s="903"/>
      <c r="D40" s="53" t="s">
        <v>43</v>
      </c>
      <c r="E40" s="53"/>
    </row>
    <row r="41" spans="1:25" ht="15">
      <c r="A41" s="903"/>
      <c r="D41" s="53" t="s">
        <v>44</v>
      </c>
      <c r="E41" s="53"/>
    </row>
    <row r="42" spans="1:25" ht="23.1" customHeight="1">
      <c r="A42" s="32"/>
    </row>
    <row r="43" spans="1:25" ht="23.1" customHeight="1">
      <c r="A43" s="32"/>
    </row>
    <row r="44" spans="1:25" ht="23.1" customHeight="1">
      <c r="A44" s="32"/>
    </row>
    <row r="45" spans="1:25" ht="23.1" customHeight="1">
      <c r="A45" s="32"/>
    </row>
    <row r="46" spans="1:25" ht="23.1" customHeight="1">
      <c r="A46" s="32"/>
    </row>
    <row r="47" spans="1:25" ht="23.1" customHeight="1">
      <c r="A47" s="32"/>
    </row>
    <row r="48" spans="1:25" ht="23.1" customHeight="1">
      <c r="A48" s="32"/>
    </row>
    <row r="49" spans="1:1" ht="23.1" customHeight="1">
      <c r="A49" s="32"/>
    </row>
    <row r="50" spans="1:1" ht="23.1" customHeight="1">
      <c r="A50" s="32"/>
    </row>
    <row r="51" spans="1:1" ht="23.1" customHeight="1">
      <c r="A51" s="32"/>
    </row>
    <row r="52" spans="1:1" ht="23.1" customHeight="1">
      <c r="A52" s="32"/>
    </row>
    <row r="53" spans="1:1" ht="23.1" customHeight="1">
      <c r="A53" s="32"/>
    </row>
    <row r="54" spans="1:1" ht="23.1" customHeight="1">
      <c r="A54" s="32"/>
    </row>
    <row r="55" spans="1:1" ht="23.1" customHeight="1">
      <c r="A55" s="32"/>
    </row>
    <row r="56" spans="1:1" ht="23.1" customHeight="1">
      <c r="A56" s="32"/>
    </row>
    <row r="57" spans="1:1" ht="23.1" customHeight="1">
      <c r="A57" s="32"/>
    </row>
    <row r="58" spans="1:1" ht="23.1" customHeight="1">
      <c r="A58" s="32"/>
    </row>
    <row r="59" spans="1:1" ht="23.1" customHeight="1">
      <c r="A59" s="32"/>
    </row>
    <row r="60" spans="1:1" ht="23.1" customHeight="1">
      <c r="A60" s="32"/>
    </row>
    <row r="61" spans="1:1" ht="23.1" customHeight="1">
      <c r="A61" s="32"/>
    </row>
    <row r="62" spans="1:1" ht="23.1" customHeight="1">
      <c r="A62" s="32"/>
    </row>
    <row r="63" spans="1:1" ht="23.1" customHeight="1">
      <c r="A63" s="32"/>
    </row>
    <row r="64" spans="1:1" ht="23.1" customHeight="1">
      <c r="A64" s="32"/>
    </row>
    <row r="65" spans="1:1" ht="23.1" customHeight="1">
      <c r="A65" s="32"/>
    </row>
    <row r="66" spans="1:1" ht="23.1" customHeight="1">
      <c r="A66" s="32"/>
    </row>
    <row r="67" spans="1:1" ht="23.1" customHeight="1">
      <c r="A67" s="32"/>
    </row>
    <row r="68" spans="1:1" ht="23.1" customHeight="1">
      <c r="A68" s="32"/>
    </row>
    <row r="69" spans="1:1" ht="23.1" customHeight="1">
      <c r="A69" s="32"/>
    </row>
    <row r="70" spans="1:1" ht="23.1" customHeight="1">
      <c r="A70" s="32"/>
    </row>
    <row r="71" spans="1:1" ht="23.1" customHeight="1">
      <c r="A71" s="32"/>
    </row>
    <row r="72" spans="1:1" ht="23.1" customHeight="1">
      <c r="A72" s="32"/>
    </row>
    <row r="73" spans="1:1" ht="23.1" customHeight="1">
      <c r="A73" s="32"/>
    </row>
    <row r="74" spans="1:1" ht="23.1" customHeight="1">
      <c r="A74" s="32"/>
    </row>
    <row r="75" spans="1:1" ht="23.1" customHeight="1">
      <c r="A75" s="32"/>
    </row>
    <row r="76" spans="1:1" ht="23.1" customHeight="1">
      <c r="A76" s="32"/>
    </row>
    <row r="77" spans="1:1" ht="23.1" customHeight="1">
      <c r="A77" s="32"/>
    </row>
  </sheetData>
  <sheetProtection algorithmName="SHA-512" hashValue="mKND4/CJjcehI0hECWNdkfjTKt+o0OmEo9wzrDM/D7D/FEEuE1AjHu3lE3sigMv7jKM7Q716lhtPZ+G84mnXPw==" saltValue="+So/iz++zDcNY7Qq0NNyaA==" spinCount="100000" sheet="1" insertRows="0"/>
  <mergeCells count="4">
    <mergeCell ref="D35:F35"/>
    <mergeCell ref="I6:I7"/>
    <mergeCell ref="F9:I9"/>
    <mergeCell ref="D12:F12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2:X96"/>
  <sheetViews>
    <sheetView zoomScale="70" zoomScaleNormal="70" workbookViewId="0">
      <selection activeCell="E3" sqref="E3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109375" style="32" customWidth="1"/>
    <col min="5" max="5" width="68" style="32" customWidth="1"/>
    <col min="6" max="6" width="17.6640625" style="33" customWidth="1"/>
    <col min="7" max="7" width="44.88671875" style="33" customWidth="1"/>
    <col min="8" max="8" width="10.6640625" style="33" customWidth="1"/>
    <col min="9" max="9" width="3.33203125" style="32" customWidth="1"/>
    <col min="10" max="16384" width="10.6640625" style="32"/>
  </cols>
  <sheetData>
    <row r="2" spans="1:24" ht="23.1" customHeight="1">
      <c r="A2" s="369"/>
      <c r="E2" s="347" t="str">
        <f>_GENERAL!D2</f>
        <v>Área de Presidencia, Hacienda y Modernización</v>
      </c>
    </row>
    <row r="3" spans="1:24" ht="23.1" customHeight="1">
      <c r="A3" s="369"/>
      <c r="E3" s="347" t="str">
        <f>_GENERAL!D3</f>
        <v>Dirección Insular de Hacienda</v>
      </c>
    </row>
    <row r="4" spans="1:24" ht="23.1" customHeight="1" thickBot="1">
      <c r="A4" s="369"/>
      <c r="B4" s="32" t="s">
        <v>100</v>
      </c>
    </row>
    <row r="5" spans="1:24" ht="9" customHeight="1">
      <c r="A5" s="975"/>
      <c r="C5" s="34"/>
      <c r="D5" s="35"/>
      <c r="E5" s="35"/>
      <c r="F5" s="36"/>
      <c r="G5" s="36"/>
      <c r="H5" s="36"/>
      <c r="I5" s="37"/>
      <c r="K5" s="757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9"/>
    </row>
    <row r="6" spans="1:24" ht="30" customHeight="1">
      <c r="A6" s="975"/>
      <c r="C6" s="38"/>
      <c r="D6" s="29" t="s">
        <v>2</v>
      </c>
      <c r="H6" s="1140">
        <f>ejercicio</f>
        <v>2022</v>
      </c>
      <c r="I6" s="39"/>
      <c r="K6" s="174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/>
    </row>
    <row r="7" spans="1:24" ht="30" customHeight="1">
      <c r="A7" s="975"/>
      <c r="C7" s="38"/>
      <c r="D7" s="29" t="s">
        <v>3</v>
      </c>
      <c r="H7" s="1140"/>
      <c r="I7" s="39"/>
      <c r="K7" s="178"/>
      <c r="L7" s="175" t="s">
        <v>101</v>
      </c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80"/>
    </row>
    <row r="8" spans="1:24" ht="30" customHeight="1">
      <c r="A8" s="975"/>
      <c r="C8" s="38"/>
      <c r="D8" s="40"/>
      <c r="H8" s="41"/>
      <c r="I8" s="39"/>
      <c r="K8" s="818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819"/>
    </row>
    <row r="9" spans="1:24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936"/>
      <c r="J9" s="970"/>
      <c r="K9" s="818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819"/>
    </row>
    <row r="10" spans="1:24" ht="6.95" customHeight="1">
      <c r="A10" s="975"/>
      <c r="C10" s="38"/>
      <c r="I10" s="39"/>
      <c r="K10" s="818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819"/>
    </row>
    <row r="11" spans="1:24" s="46" customFormat="1" ht="30" customHeight="1">
      <c r="A11" s="901"/>
      <c r="C11" s="42"/>
      <c r="D11" s="43" t="s">
        <v>830</v>
      </c>
      <c r="E11" s="43"/>
      <c r="F11" s="44"/>
      <c r="G11" s="44"/>
      <c r="H11" s="44"/>
      <c r="I11" s="45"/>
      <c r="K11" s="818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819"/>
    </row>
    <row r="12" spans="1:24" s="46" customFormat="1" ht="30" customHeight="1">
      <c r="A12" s="901"/>
      <c r="C12" s="42"/>
      <c r="D12" s="1160"/>
      <c r="E12" s="1160"/>
      <c r="F12" s="31"/>
      <c r="G12" s="31"/>
      <c r="H12" s="31"/>
      <c r="I12" s="45"/>
      <c r="K12" s="818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819"/>
    </row>
    <row r="13" spans="1:24" ht="29.1" customHeight="1">
      <c r="A13" s="901"/>
      <c r="C13" s="47"/>
      <c r="D13" s="701" t="str">
        <f>IF(_GENERAL!D14&lt;&gt;"Administración Pública","No aplica a entidades clasificadas como Entidad no financiera","")</f>
        <v/>
      </c>
      <c r="E13" s="604"/>
      <c r="F13" s="31"/>
      <c r="G13" s="31"/>
      <c r="H13" s="131"/>
      <c r="I13" s="39"/>
      <c r="K13" s="818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819"/>
    </row>
    <row r="14" spans="1:24" ht="9" customHeight="1">
      <c r="A14" s="902"/>
      <c r="C14" s="47"/>
      <c r="D14" s="604"/>
      <c r="E14" s="604"/>
      <c r="F14" s="31"/>
      <c r="G14" s="31"/>
      <c r="H14" s="31"/>
      <c r="I14" s="39"/>
      <c r="K14" s="818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819"/>
    </row>
    <row r="15" spans="1:24" s="120" customFormat="1" ht="23.1" customHeight="1">
      <c r="A15" s="903"/>
      <c r="C15" s="121"/>
      <c r="D15" s="134"/>
      <c r="E15" s="137"/>
      <c r="F15" s="86" t="s">
        <v>831</v>
      </c>
      <c r="G15" s="134"/>
      <c r="H15" s="137"/>
      <c r="I15" s="123"/>
      <c r="K15" s="818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819"/>
    </row>
    <row r="16" spans="1:24" s="120" customFormat="1" ht="23.1" customHeight="1">
      <c r="A16" s="903"/>
      <c r="C16" s="121"/>
      <c r="D16" s="135"/>
      <c r="E16" s="138"/>
      <c r="F16" s="124" t="s">
        <v>832</v>
      </c>
      <c r="G16" s="135"/>
      <c r="H16" s="138"/>
      <c r="I16" s="123"/>
      <c r="K16" s="818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819"/>
    </row>
    <row r="17" spans="1:24" s="120" customFormat="1" ht="23.1" customHeight="1">
      <c r="A17" s="903"/>
      <c r="C17" s="121"/>
      <c r="D17" s="135"/>
      <c r="E17" s="138"/>
      <c r="F17" s="124" t="s">
        <v>833</v>
      </c>
      <c r="G17" s="135"/>
      <c r="H17" s="138"/>
      <c r="I17" s="123"/>
      <c r="K17" s="818"/>
      <c r="L17" s="781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819"/>
    </row>
    <row r="18" spans="1:24" s="120" customFormat="1" ht="24" customHeight="1">
      <c r="A18" s="903"/>
      <c r="C18" s="121"/>
      <c r="D18" s="1215" t="s">
        <v>680</v>
      </c>
      <c r="E18" s="1216"/>
      <c r="F18" s="151">
        <f>ejercicio</f>
        <v>2022</v>
      </c>
      <c r="G18" s="136" t="s">
        <v>157</v>
      </c>
      <c r="H18" s="139"/>
      <c r="I18" s="123"/>
      <c r="K18" s="818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819"/>
    </row>
    <row r="19" spans="1:24" ht="9" customHeight="1">
      <c r="A19" s="975"/>
      <c r="C19" s="47"/>
      <c r="D19" s="28"/>
      <c r="E19" s="604"/>
      <c r="F19" s="31"/>
      <c r="G19" s="31"/>
      <c r="H19" s="131"/>
      <c r="I19" s="39"/>
      <c r="K19" s="818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819"/>
    </row>
    <row r="20" spans="1:24" s="40" customFormat="1" ht="23.1" customHeight="1" thickBot="1">
      <c r="A20" s="903"/>
      <c r="C20" s="65"/>
      <c r="D20" s="1241" t="s">
        <v>834</v>
      </c>
      <c r="E20" s="1242"/>
      <c r="F20" s="142">
        <f>SUM(F21:F30)</f>
        <v>1003720.19</v>
      </c>
      <c r="G20" s="1250"/>
      <c r="H20" s="1251"/>
      <c r="I20" s="56"/>
      <c r="K20" s="818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819"/>
    </row>
    <row r="21" spans="1:24" ht="23.1" customHeight="1">
      <c r="A21" s="903"/>
      <c r="C21" s="47"/>
      <c r="D21" s="640" t="s">
        <v>835</v>
      </c>
      <c r="E21" s="739"/>
      <c r="F21" s="1123">
        <f>'FC-3_CPyG'!I16+'FC-3_CPyG'!I22-'FC-3_CPyG'!I20</f>
        <v>363560</v>
      </c>
      <c r="G21" s="1252"/>
      <c r="H21" s="1253"/>
      <c r="I21" s="39"/>
      <c r="K21" s="818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819"/>
    </row>
    <row r="22" spans="1:24" ht="23.1" customHeight="1">
      <c r="A22" s="903"/>
      <c r="C22" s="47"/>
      <c r="D22" s="640" t="s">
        <v>836</v>
      </c>
      <c r="E22" s="739"/>
      <c r="F22" s="1123">
        <f>'FC-3_CPyG'!I29</f>
        <v>0</v>
      </c>
      <c r="G22" s="1225"/>
      <c r="H22" s="1226"/>
      <c r="I22" s="39"/>
      <c r="K22" s="818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819"/>
    </row>
    <row r="23" spans="1:24" ht="23.1" customHeight="1">
      <c r="A23" s="903"/>
      <c r="C23" s="47"/>
      <c r="D23" s="640" t="s">
        <v>837</v>
      </c>
      <c r="E23" s="739"/>
      <c r="F23" s="1123">
        <f>'FC-3_CPyG'!I31</f>
        <v>34000</v>
      </c>
      <c r="G23" s="1225"/>
      <c r="H23" s="1226"/>
      <c r="I23" s="39"/>
      <c r="K23" s="818"/>
      <c r="L23" s="781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819"/>
    </row>
    <row r="24" spans="1:24" ht="23.1" customHeight="1">
      <c r="A24" s="903"/>
      <c r="C24" s="47"/>
      <c r="D24" s="640" t="s">
        <v>838</v>
      </c>
      <c r="E24" s="739"/>
      <c r="F24" s="1123">
        <f>'FC-9_TRANS_SUBV'!K85+'FC-9_TRANS_SUBV'!K104</f>
        <v>606160.18999999994</v>
      </c>
      <c r="G24" s="1225"/>
      <c r="H24" s="1226"/>
      <c r="I24" s="39"/>
      <c r="K24" s="818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819"/>
    </row>
    <row r="25" spans="1:24" ht="23.1" customHeight="1">
      <c r="A25" s="903"/>
      <c r="C25" s="47"/>
      <c r="D25" s="640" t="s">
        <v>839</v>
      </c>
      <c r="E25" s="739"/>
      <c r="F25" s="1123">
        <f>'FC-3_CPyG'!I47</f>
        <v>0</v>
      </c>
      <c r="G25" s="1225"/>
      <c r="H25" s="1226"/>
      <c r="I25" s="39"/>
      <c r="K25" s="818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819"/>
    </row>
    <row r="26" spans="1:24" ht="23.1" customHeight="1">
      <c r="A26" s="903"/>
      <c r="C26" s="47"/>
      <c r="D26" s="640" t="s">
        <v>840</v>
      </c>
      <c r="E26" s="739"/>
      <c r="F26" s="1123">
        <f>'FC-3_CPyG'!I46</f>
        <v>0</v>
      </c>
      <c r="G26" s="1225"/>
      <c r="H26" s="1226"/>
      <c r="I26" s="39"/>
      <c r="K26" s="818"/>
      <c r="L26" s="781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819"/>
    </row>
    <row r="27" spans="1:24" ht="23.1" customHeight="1">
      <c r="A27" s="903"/>
      <c r="C27" s="47"/>
      <c r="D27" s="640" t="s">
        <v>841</v>
      </c>
      <c r="E27" s="739"/>
      <c r="F27" s="654"/>
      <c r="G27" s="639" t="s">
        <v>842</v>
      </c>
      <c r="H27" s="952"/>
      <c r="I27" s="39"/>
      <c r="K27" s="818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819"/>
    </row>
    <row r="28" spans="1:24" ht="23.1" customHeight="1">
      <c r="A28" s="903"/>
      <c r="C28" s="47"/>
      <c r="D28" s="640" t="s">
        <v>843</v>
      </c>
      <c r="E28" s="739"/>
      <c r="F28" s="1123">
        <f>'FC-3_1_INF_ADIC_CPyG'!H48</f>
        <v>0</v>
      </c>
      <c r="G28" s="1225"/>
      <c r="H28" s="1226"/>
      <c r="I28" s="39"/>
      <c r="K28" s="818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819"/>
    </row>
    <row r="29" spans="1:24" ht="23.1" customHeight="1">
      <c r="A29" s="903"/>
      <c r="C29" s="47"/>
      <c r="D29" s="640" t="s">
        <v>844</v>
      </c>
      <c r="E29" s="739"/>
      <c r="F29" s="1123">
        <f>'FC-9_TRANS_SUBV'!I119</f>
        <v>0</v>
      </c>
      <c r="G29" s="1225"/>
      <c r="H29" s="1226"/>
      <c r="I29" s="39"/>
      <c r="K29" s="818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819"/>
    </row>
    <row r="30" spans="1:24" ht="23.1" customHeight="1">
      <c r="A30" s="975"/>
      <c r="C30" s="47"/>
      <c r="D30" s="641" t="s">
        <v>845</v>
      </c>
      <c r="E30" s="1105"/>
      <c r="F30" s="1124">
        <f>'FC-9_TRANS_SUBV'!O43</f>
        <v>0</v>
      </c>
      <c r="G30" s="1256"/>
      <c r="H30" s="1257"/>
      <c r="I30" s="39"/>
      <c r="K30" s="818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819"/>
    </row>
    <row r="31" spans="1:24" ht="9" customHeight="1">
      <c r="A31" s="975"/>
      <c r="C31" s="47"/>
      <c r="D31" s="28"/>
      <c r="E31" s="604"/>
      <c r="F31" s="31"/>
      <c r="G31" s="31"/>
      <c r="H31" s="131"/>
      <c r="I31" s="39"/>
      <c r="K31" s="818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819"/>
    </row>
    <row r="32" spans="1:24" ht="23.1" customHeight="1" thickBot="1">
      <c r="A32" s="903"/>
      <c r="C32" s="47"/>
      <c r="D32" s="1241" t="s">
        <v>846</v>
      </c>
      <c r="E32" s="1242"/>
      <c r="F32" s="142">
        <f>SUM(F33:F44)</f>
        <v>-1089661.6700000002</v>
      </c>
      <c r="G32" s="1250"/>
      <c r="H32" s="1251"/>
      <c r="I32" s="39"/>
      <c r="K32" s="818"/>
      <c r="L32" s="781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819"/>
    </row>
    <row r="33" spans="1:24" ht="23.1" customHeight="1">
      <c r="A33" s="903"/>
      <c r="C33" s="47"/>
      <c r="D33" s="640" t="s">
        <v>215</v>
      </c>
      <c r="E33" s="739"/>
      <c r="F33" s="1123">
        <f>'FC-3_CPyG'!I30+'FC-3_CPyG'!I23+'FC-3_CPyG'!I28-F44</f>
        <v>-217000</v>
      </c>
      <c r="G33" s="1225"/>
      <c r="H33" s="1226"/>
      <c r="I33" s="39"/>
      <c r="K33" s="818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819"/>
    </row>
    <row r="34" spans="1:24" ht="23.1" customHeight="1">
      <c r="A34" s="903"/>
      <c r="C34" s="47"/>
      <c r="D34" s="640" t="s">
        <v>847</v>
      </c>
      <c r="E34" s="739"/>
      <c r="F34" s="1123">
        <f>+'FC-3_CPyG'!I32</f>
        <v>-397280.31</v>
      </c>
      <c r="G34" s="996"/>
      <c r="H34" s="952"/>
      <c r="I34" s="39"/>
      <c r="K34" s="818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819"/>
    </row>
    <row r="35" spans="1:24" ht="23.1" customHeight="1">
      <c r="A35" s="903"/>
      <c r="C35" s="47"/>
      <c r="D35" s="640" t="s">
        <v>848</v>
      </c>
      <c r="E35" s="739"/>
      <c r="F35" s="1123">
        <f>'FC-3_CPyG'!I34+'FC-3_CPyG'!I37</f>
        <v>-457929.62</v>
      </c>
      <c r="G35" s="996"/>
      <c r="H35" s="952"/>
      <c r="I35" s="39"/>
      <c r="K35" s="818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819"/>
    </row>
    <row r="36" spans="1:24" ht="23.1" customHeight="1">
      <c r="A36" s="903"/>
      <c r="C36" s="47"/>
      <c r="D36" s="640" t="s">
        <v>849</v>
      </c>
      <c r="E36" s="739"/>
      <c r="F36" s="1123">
        <f>'FC-3_CPyG'!I49+'FC-3_CPyG'!I50</f>
        <v>0</v>
      </c>
      <c r="G36" s="996"/>
      <c r="H36" s="952"/>
      <c r="I36" s="39"/>
      <c r="K36" s="818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819"/>
    </row>
    <row r="37" spans="1:24" ht="23.1" customHeight="1">
      <c r="A37" s="903"/>
      <c r="C37" s="47"/>
      <c r="D37" s="640" t="s">
        <v>850</v>
      </c>
      <c r="E37" s="739"/>
      <c r="F37" s="1123">
        <f>-'FC-3_1_INF_ADIC_CPyG'!H68-'FC-3_1_INF_ADIC_CPyG'!H69</f>
        <v>-6701.74</v>
      </c>
      <c r="G37" s="996"/>
      <c r="H37" s="952"/>
      <c r="I37" s="39"/>
      <c r="K37" s="818"/>
      <c r="L37" s="781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819"/>
    </row>
    <row r="38" spans="1:24" ht="23.1" customHeight="1">
      <c r="A38" s="903"/>
      <c r="C38" s="47"/>
      <c r="D38" s="640" t="s">
        <v>851</v>
      </c>
      <c r="E38" s="739"/>
      <c r="F38" s="1123">
        <f>'FC-3_CPyG'!I35</f>
        <v>-1250</v>
      </c>
      <c r="G38" s="639"/>
      <c r="H38" s="952"/>
      <c r="I38" s="39"/>
      <c r="K38" s="818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819"/>
    </row>
    <row r="39" spans="1:24" ht="23.1" customHeight="1">
      <c r="A39" s="903"/>
      <c r="C39" s="47"/>
      <c r="D39" s="640" t="s">
        <v>852</v>
      </c>
      <c r="E39" s="739"/>
      <c r="F39" s="1123">
        <f>'FC-3_1_INF_ADIC_CPyG'!H57</f>
        <v>0</v>
      </c>
      <c r="G39" s="996"/>
      <c r="H39" s="952"/>
      <c r="I39" s="39"/>
      <c r="K39" s="818"/>
      <c r="L39" s="781"/>
      <c r="M39" s="781"/>
      <c r="N39" s="781"/>
      <c r="O39" s="781"/>
      <c r="P39" s="781"/>
      <c r="Q39" s="781"/>
      <c r="R39" s="781"/>
      <c r="S39" s="781"/>
      <c r="T39" s="781"/>
      <c r="U39" s="781"/>
      <c r="V39" s="781"/>
      <c r="W39" s="781"/>
      <c r="X39" s="819"/>
    </row>
    <row r="40" spans="1:24" ht="23.1" customHeight="1">
      <c r="A40" s="903"/>
      <c r="C40" s="47"/>
      <c r="D40" s="640" t="s">
        <v>853</v>
      </c>
      <c r="E40" s="739"/>
      <c r="F40" s="1123">
        <f>-'FC-7_INF'!G31-'FC-7_INF'!I31+'FC-7_INF'!O31-'FC-7_INF'!G33-'FC-7_INF'!I33-'FC-7_INF'!L33</f>
        <v>-9500</v>
      </c>
      <c r="G40" s="996"/>
      <c r="H40" s="952"/>
      <c r="I40" s="39"/>
      <c r="K40" s="818"/>
      <c r="L40" s="781"/>
      <c r="M40" s="781"/>
      <c r="N40" s="781"/>
      <c r="O40" s="781"/>
      <c r="P40" s="781"/>
      <c r="Q40" s="781"/>
      <c r="R40" s="781"/>
      <c r="S40" s="781"/>
      <c r="T40" s="781"/>
      <c r="U40" s="781"/>
      <c r="V40" s="781"/>
      <c r="W40" s="781"/>
      <c r="X40" s="819"/>
    </row>
    <row r="41" spans="1:24" ht="23.1" customHeight="1">
      <c r="A41" s="903"/>
      <c r="C41" s="47"/>
      <c r="D41" s="640" t="s">
        <v>854</v>
      </c>
      <c r="E41" s="739"/>
      <c r="F41" s="1123">
        <f>'FC-3_CPyG'!I28</f>
        <v>0</v>
      </c>
      <c r="G41" s="996"/>
      <c r="H41" s="952"/>
      <c r="I41" s="39"/>
      <c r="K41" s="818"/>
      <c r="L41" s="781"/>
      <c r="M41" s="781"/>
      <c r="N41" s="781"/>
      <c r="O41" s="781"/>
      <c r="P41" s="781"/>
      <c r="Q41" s="781"/>
      <c r="R41" s="781"/>
      <c r="S41" s="781"/>
      <c r="T41" s="781"/>
      <c r="U41" s="781"/>
      <c r="V41" s="781"/>
      <c r="W41" s="781"/>
      <c r="X41" s="819"/>
    </row>
    <row r="42" spans="1:24" ht="23.1" customHeight="1">
      <c r="A42" s="903"/>
      <c r="C42" s="47"/>
      <c r="D42" s="640" t="s">
        <v>855</v>
      </c>
      <c r="E42" s="739"/>
      <c r="F42" s="1123">
        <f>'_FC-16_1_ INF_ADIC_ESTAB_PRESUP'!H19+'_FC-16_1_ INF_ADIC_ESTAB_PRESUP'!H28</f>
        <v>0</v>
      </c>
      <c r="G42" s="639"/>
      <c r="H42" s="999"/>
      <c r="I42" s="39"/>
      <c r="K42" s="818"/>
      <c r="L42" s="781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819"/>
    </row>
    <row r="43" spans="1:24" ht="23.1" customHeight="1">
      <c r="A43" s="903"/>
      <c r="C43" s="47"/>
      <c r="D43" s="640" t="s">
        <v>856</v>
      </c>
      <c r="E43" s="739"/>
      <c r="F43" s="654"/>
      <c r="G43" s="1254" t="s">
        <v>842</v>
      </c>
      <c r="H43" s="1255"/>
      <c r="I43" s="39"/>
      <c r="K43" s="818"/>
      <c r="L43" s="781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1"/>
      <c r="X43" s="819"/>
    </row>
    <row r="44" spans="1:24" ht="23.1" customHeight="1">
      <c r="A44" s="903"/>
      <c r="C44" s="47"/>
      <c r="D44" s="641" t="s">
        <v>857</v>
      </c>
      <c r="E44" s="1105"/>
      <c r="F44" s="1124">
        <f>-'FC-3_1_INF_ADIC_CPyG'!H87</f>
        <v>0</v>
      </c>
      <c r="G44" s="1256"/>
      <c r="H44" s="1257"/>
      <c r="I44" s="39"/>
      <c r="K44" s="823" t="str">
        <f>IF(F44=0,"","En el proceso de revisión del PAIF, si han habido ayudas concedidas, debe descontarse el importe en la correspondiente celda E33 a E43 en el que estuviese incluido su gasto")</f>
        <v/>
      </c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819"/>
    </row>
    <row r="45" spans="1:24" ht="9" customHeight="1">
      <c r="A45" s="903"/>
      <c r="C45" s="47"/>
      <c r="D45" s="28"/>
      <c r="E45" s="604"/>
      <c r="F45" s="31"/>
      <c r="G45" s="31"/>
      <c r="H45" s="131"/>
      <c r="I45" s="39"/>
      <c r="K45" s="818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819"/>
    </row>
    <row r="46" spans="1:24" ht="23.1" customHeight="1" thickBot="1">
      <c r="A46" s="903"/>
      <c r="C46" s="47"/>
      <c r="D46" s="62" t="s">
        <v>858</v>
      </c>
      <c r="E46" s="642"/>
      <c r="F46" s="70">
        <f>+F20+F32</f>
        <v>-85941.480000000214</v>
      </c>
      <c r="G46" s="31"/>
      <c r="H46" s="31"/>
      <c r="I46" s="39"/>
      <c r="K46" s="818"/>
      <c r="L46" s="781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  <c r="X46" s="819"/>
    </row>
    <row r="47" spans="1:24" ht="23.1" customHeight="1">
      <c r="A47" s="903"/>
      <c r="C47" s="47"/>
      <c r="D47" s="632"/>
      <c r="E47" s="632"/>
      <c r="F47" s="99"/>
      <c r="G47" s="99"/>
      <c r="H47" s="31"/>
      <c r="I47" s="39"/>
      <c r="K47" s="818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819"/>
    </row>
    <row r="48" spans="1:24" ht="23.1" customHeight="1">
      <c r="A48" s="903"/>
      <c r="C48" s="47"/>
      <c r="D48" s="68" t="s">
        <v>179</v>
      </c>
      <c r="E48" s="632"/>
      <c r="F48" s="99"/>
      <c r="G48" s="99"/>
      <c r="H48" s="31"/>
      <c r="I48" s="39"/>
      <c r="K48" s="818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819"/>
    </row>
    <row r="49" spans="1:24" ht="23.1" customHeight="1">
      <c r="A49" s="903"/>
      <c r="C49" s="47"/>
      <c r="D49" s="66" t="s">
        <v>859</v>
      </c>
      <c r="E49" s="632"/>
      <c r="F49" s="99"/>
      <c r="G49" s="99"/>
      <c r="H49" s="31"/>
      <c r="I49" s="39"/>
      <c r="K49" s="818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819"/>
    </row>
    <row r="50" spans="1:24" ht="23.1" customHeight="1">
      <c r="A50" s="903"/>
      <c r="C50" s="47"/>
      <c r="D50" s="66" t="s">
        <v>860</v>
      </c>
      <c r="E50" s="632"/>
      <c r="F50" s="99"/>
      <c r="G50" s="99"/>
      <c r="H50" s="31"/>
      <c r="I50" s="39"/>
      <c r="K50" s="818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819"/>
    </row>
    <row r="51" spans="1:24" ht="15.95" customHeight="1">
      <c r="A51" s="903"/>
      <c r="C51" s="47"/>
      <c r="D51" s="66" t="s">
        <v>861</v>
      </c>
      <c r="E51" s="632"/>
      <c r="F51" s="99"/>
      <c r="G51" s="99"/>
      <c r="H51" s="31"/>
      <c r="I51" s="39"/>
      <c r="K51" s="818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819"/>
    </row>
    <row r="52" spans="1:24" ht="6" customHeight="1">
      <c r="A52" s="903"/>
      <c r="C52" s="47"/>
      <c r="D52" s="66"/>
      <c r="E52" s="632"/>
      <c r="F52" s="99"/>
      <c r="G52" s="99"/>
      <c r="H52" s="31"/>
      <c r="I52" s="39"/>
      <c r="K52" s="818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819"/>
    </row>
    <row r="53" spans="1:24" ht="15.95" customHeight="1">
      <c r="A53" s="903"/>
      <c r="C53" s="47"/>
      <c r="D53" s="728" t="s">
        <v>862</v>
      </c>
      <c r="F53" s="99"/>
      <c r="G53" s="99"/>
      <c r="H53" s="31"/>
      <c r="I53" s="39"/>
      <c r="K53" s="818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819"/>
    </row>
    <row r="54" spans="1:24" ht="15.95" customHeight="1">
      <c r="A54" s="903"/>
      <c r="C54" s="47"/>
      <c r="E54" s="66" t="s">
        <v>863</v>
      </c>
      <c r="F54" s="99"/>
      <c r="G54" s="99"/>
      <c r="H54" s="31"/>
      <c r="I54" s="39"/>
      <c r="K54" s="818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819"/>
    </row>
    <row r="55" spans="1:24" ht="15.95" customHeight="1">
      <c r="A55" s="903"/>
      <c r="C55" s="47"/>
      <c r="E55" s="66" t="s">
        <v>864</v>
      </c>
      <c r="F55" s="99"/>
      <c r="G55" s="99"/>
      <c r="H55" s="31"/>
      <c r="I55" s="39"/>
      <c r="K55" s="818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819"/>
    </row>
    <row r="56" spans="1:24" ht="15.95" customHeight="1">
      <c r="A56" s="903"/>
      <c r="C56" s="47"/>
      <c r="E56" s="66" t="s">
        <v>865</v>
      </c>
      <c r="F56" s="99"/>
      <c r="G56" s="99"/>
      <c r="H56" s="31"/>
      <c r="I56" s="39"/>
      <c r="K56" s="818"/>
      <c r="L56" s="781"/>
      <c r="M56" s="781"/>
      <c r="N56" s="781"/>
      <c r="O56" s="781"/>
      <c r="P56" s="781"/>
      <c r="Q56" s="781"/>
      <c r="R56" s="781"/>
      <c r="S56" s="781"/>
      <c r="T56" s="781"/>
      <c r="U56" s="781"/>
      <c r="V56" s="781"/>
      <c r="W56" s="781"/>
      <c r="X56" s="819"/>
    </row>
    <row r="57" spans="1:24" ht="15.95" customHeight="1">
      <c r="A57" s="903"/>
      <c r="C57" s="47"/>
      <c r="E57" s="66" t="s">
        <v>866</v>
      </c>
      <c r="F57" s="99"/>
      <c r="G57" s="99"/>
      <c r="H57" s="31"/>
      <c r="I57" s="39"/>
      <c r="K57" s="818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  <c r="X57" s="819"/>
    </row>
    <row r="58" spans="1:24" ht="15.95" customHeight="1">
      <c r="A58" s="903"/>
      <c r="C58" s="47"/>
      <c r="D58" s="728" t="s">
        <v>867</v>
      </c>
      <c r="F58" s="99"/>
      <c r="G58" s="99"/>
      <c r="H58" s="31"/>
      <c r="I58" s="39"/>
      <c r="K58" s="818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  <c r="X58" s="819"/>
    </row>
    <row r="59" spans="1:24" ht="15.95" customHeight="1">
      <c r="A59" s="903"/>
      <c r="C59" s="47"/>
      <c r="E59" s="66" t="s">
        <v>770</v>
      </c>
      <c r="F59" s="99"/>
      <c r="G59" s="99"/>
      <c r="H59" s="31"/>
      <c r="I59" s="39"/>
      <c r="K59" s="818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819"/>
    </row>
    <row r="60" spans="1:24" ht="15.95" customHeight="1">
      <c r="A60" s="903"/>
      <c r="C60" s="47"/>
      <c r="E60" s="66" t="s">
        <v>868</v>
      </c>
      <c r="F60" s="99"/>
      <c r="G60" s="99"/>
      <c r="H60" s="31"/>
      <c r="I60" s="39"/>
      <c r="K60" s="818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819"/>
    </row>
    <row r="61" spans="1:24" ht="15.95" customHeight="1">
      <c r="A61" s="975"/>
      <c r="C61" s="47"/>
      <c r="D61" s="728" t="s">
        <v>869</v>
      </c>
      <c r="F61" s="99"/>
      <c r="G61" s="99"/>
      <c r="H61" s="31"/>
      <c r="I61" s="39"/>
      <c r="K61" s="818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819"/>
    </row>
    <row r="62" spans="1:24" ht="15.95" customHeight="1">
      <c r="A62" s="975"/>
      <c r="C62" s="47"/>
      <c r="E62" s="66" t="s">
        <v>870</v>
      </c>
      <c r="F62" s="99"/>
      <c r="G62" s="99"/>
      <c r="H62" s="31"/>
      <c r="I62" s="39"/>
      <c r="K62" s="818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819"/>
    </row>
    <row r="63" spans="1:24" ht="15.95" customHeight="1">
      <c r="A63" s="975"/>
      <c r="C63" s="47"/>
      <c r="E63" s="66" t="s">
        <v>871</v>
      </c>
      <c r="F63" s="99"/>
      <c r="G63" s="99"/>
      <c r="H63" s="31"/>
      <c r="I63" s="39"/>
      <c r="K63" s="818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819"/>
    </row>
    <row r="64" spans="1:24" ht="15.95" customHeight="1">
      <c r="A64" s="975"/>
      <c r="C64" s="47"/>
      <c r="E64" s="66" t="s">
        <v>872</v>
      </c>
      <c r="F64" s="99"/>
      <c r="G64" s="99"/>
      <c r="H64" s="31"/>
      <c r="I64" s="39"/>
      <c r="K64" s="818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819"/>
    </row>
    <row r="65" spans="1:24" ht="15.95" customHeight="1">
      <c r="A65" s="975"/>
      <c r="C65" s="47"/>
      <c r="E65" s="66" t="s">
        <v>873</v>
      </c>
      <c r="F65" s="99"/>
      <c r="G65" s="99"/>
      <c r="H65" s="31"/>
      <c r="I65" s="39"/>
      <c r="K65" s="818"/>
      <c r="L65" s="781"/>
      <c r="M65" s="781"/>
      <c r="N65" s="781"/>
      <c r="O65" s="781"/>
      <c r="P65" s="781"/>
      <c r="Q65" s="781"/>
      <c r="R65" s="781"/>
      <c r="S65" s="781"/>
      <c r="T65" s="781"/>
      <c r="U65" s="781"/>
      <c r="V65" s="781"/>
      <c r="W65" s="781"/>
      <c r="X65" s="819"/>
    </row>
    <row r="66" spans="1:24" ht="15.95" customHeight="1">
      <c r="A66" s="975"/>
      <c r="C66" s="47"/>
      <c r="D66" s="728" t="s">
        <v>874</v>
      </c>
      <c r="F66" s="99"/>
      <c r="G66" s="99"/>
      <c r="H66" s="31"/>
      <c r="I66" s="39"/>
      <c r="K66" s="818"/>
      <c r="L66" s="781"/>
      <c r="M66" s="781"/>
      <c r="N66" s="781"/>
      <c r="O66" s="781"/>
      <c r="P66" s="781"/>
      <c r="Q66" s="781"/>
      <c r="R66" s="781"/>
      <c r="S66" s="781"/>
      <c r="T66" s="781"/>
      <c r="U66" s="781"/>
      <c r="V66" s="781"/>
      <c r="W66" s="781"/>
      <c r="X66" s="819"/>
    </row>
    <row r="67" spans="1:24" ht="15.95" customHeight="1">
      <c r="A67" s="975"/>
      <c r="C67" s="47"/>
      <c r="E67" s="66" t="s">
        <v>875</v>
      </c>
      <c r="F67" s="99"/>
      <c r="G67" s="99"/>
      <c r="H67" s="31"/>
      <c r="I67" s="39"/>
      <c r="K67" s="818"/>
      <c r="L67" s="781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781"/>
      <c r="X67" s="819"/>
    </row>
    <row r="68" spans="1:24" ht="15.95" customHeight="1">
      <c r="A68" s="975"/>
      <c r="C68" s="47"/>
      <c r="E68" s="66" t="s">
        <v>876</v>
      </c>
      <c r="F68" s="99"/>
      <c r="G68" s="99"/>
      <c r="H68" s="31"/>
      <c r="I68" s="39"/>
      <c r="K68" s="818"/>
      <c r="L68" s="781"/>
      <c r="M68" s="781"/>
      <c r="N68" s="781"/>
      <c r="O68" s="781"/>
      <c r="P68" s="781"/>
      <c r="Q68" s="781"/>
      <c r="R68" s="781"/>
      <c r="S68" s="781"/>
      <c r="T68" s="781"/>
      <c r="U68" s="781"/>
      <c r="V68" s="781"/>
      <c r="W68" s="781"/>
      <c r="X68" s="819"/>
    </row>
    <row r="69" spans="1:24" ht="15.95" customHeight="1">
      <c r="A69" s="975"/>
      <c r="C69" s="47"/>
      <c r="E69" s="66" t="s">
        <v>877</v>
      </c>
      <c r="F69" s="99"/>
      <c r="G69" s="99"/>
      <c r="H69" s="31"/>
      <c r="I69" s="39"/>
      <c r="K69" s="818"/>
      <c r="L69" s="781"/>
      <c r="M69" s="781"/>
      <c r="N69" s="781"/>
      <c r="O69" s="781"/>
      <c r="P69" s="781"/>
      <c r="Q69" s="781"/>
      <c r="R69" s="781"/>
      <c r="S69" s="781"/>
      <c r="T69" s="781"/>
      <c r="U69" s="781"/>
      <c r="V69" s="781"/>
      <c r="W69" s="781"/>
      <c r="X69" s="819"/>
    </row>
    <row r="70" spans="1:24" ht="15.95" customHeight="1">
      <c r="A70" s="975"/>
      <c r="C70" s="47"/>
      <c r="E70" s="66" t="s">
        <v>878</v>
      </c>
      <c r="F70" s="99"/>
      <c r="G70" s="99"/>
      <c r="H70" s="31"/>
      <c r="I70" s="39"/>
      <c r="K70" s="818"/>
      <c r="L70" s="781"/>
      <c r="M70" s="781"/>
      <c r="N70" s="781"/>
      <c r="O70" s="781"/>
      <c r="P70" s="781"/>
      <c r="Q70" s="781"/>
      <c r="R70" s="781"/>
      <c r="S70" s="781"/>
      <c r="T70" s="781"/>
      <c r="U70" s="781"/>
      <c r="V70" s="781"/>
      <c r="W70" s="781"/>
      <c r="X70" s="819"/>
    </row>
    <row r="71" spans="1:24" ht="15.95" customHeight="1">
      <c r="A71" s="975"/>
      <c r="C71" s="47"/>
      <c r="E71" s="66" t="s">
        <v>879</v>
      </c>
      <c r="F71" s="99"/>
      <c r="G71" s="99"/>
      <c r="H71" s="31"/>
      <c r="I71" s="39"/>
      <c r="K71" s="818"/>
      <c r="L71" s="781"/>
      <c r="M71" s="781"/>
      <c r="N71" s="781"/>
      <c r="O71" s="781"/>
      <c r="P71" s="781"/>
      <c r="Q71" s="781"/>
      <c r="R71" s="781"/>
      <c r="S71" s="781"/>
      <c r="T71" s="781"/>
      <c r="U71" s="781"/>
      <c r="V71" s="781"/>
      <c r="W71" s="781"/>
      <c r="X71" s="819"/>
    </row>
    <row r="72" spans="1:24" ht="15.95" customHeight="1">
      <c r="A72" s="975"/>
      <c r="C72" s="47"/>
      <c r="E72" s="66" t="s">
        <v>880</v>
      </c>
      <c r="F72" s="99"/>
      <c r="G72" s="99"/>
      <c r="H72" s="31"/>
      <c r="I72" s="39"/>
      <c r="K72" s="818"/>
      <c r="L72" s="781"/>
      <c r="M72" s="781"/>
      <c r="N72" s="781"/>
      <c r="O72" s="781"/>
      <c r="P72" s="781"/>
      <c r="Q72" s="781"/>
      <c r="R72" s="781"/>
      <c r="S72" s="781"/>
      <c r="T72" s="781"/>
      <c r="U72" s="781"/>
      <c r="V72" s="781"/>
      <c r="W72" s="781"/>
      <c r="X72" s="819"/>
    </row>
    <row r="73" spans="1:24" ht="15.95" customHeight="1">
      <c r="A73" s="975"/>
      <c r="C73" s="47"/>
      <c r="D73" s="728" t="s">
        <v>881</v>
      </c>
      <c r="F73" s="99"/>
      <c r="G73" s="99"/>
      <c r="H73" s="31"/>
      <c r="I73" s="39"/>
      <c r="K73" s="818"/>
      <c r="L73" s="781"/>
      <c r="M73" s="781"/>
      <c r="N73" s="781"/>
      <c r="O73" s="781"/>
      <c r="P73" s="781"/>
      <c r="Q73" s="781"/>
      <c r="R73" s="781"/>
      <c r="S73" s="781"/>
      <c r="T73" s="781"/>
      <c r="U73" s="781"/>
      <c r="V73" s="781"/>
      <c r="W73" s="781"/>
      <c r="X73" s="819"/>
    </row>
    <row r="74" spans="1:24" ht="15.95" customHeight="1">
      <c r="A74" s="975"/>
      <c r="C74" s="47"/>
      <c r="E74" s="66" t="s">
        <v>882</v>
      </c>
      <c r="F74" s="99"/>
      <c r="G74" s="99"/>
      <c r="H74" s="31"/>
      <c r="I74" s="39"/>
      <c r="K74" s="818"/>
      <c r="L74" s="781"/>
      <c r="M74" s="781"/>
      <c r="N74" s="781"/>
      <c r="O74" s="781"/>
      <c r="P74" s="781"/>
      <c r="Q74" s="781"/>
      <c r="R74" s="781"/>
      <c r="S74" s="781"/>
      <c r="T74" s="781"/>
      <c r="U74" s="781"/>
      <c r="V74" s="781"/>
      <c r="W74" s="781"/>
      <c r="X74" s="819"/>
    </row>
    <row r="75" spans="1:24" ht="15.95" customHeight="1">
      <c r="A75" s="975"/>
      <c r="C75" s="47"/>
      <c r="E75" s="66" t="s">
        <v>883</v>
      </c>
      <c r="F75" s="99"/>
      <c r="G75" s="99"/>
      <c r="H75" s="31"/>
      <c r="I75" s="39"/>
      <c r="K75" s="818"/>
      <c r="L75" s="781"/>
      <c r="M75" s="781"/>
      <c r="N75" s="781"/>
      <c r="O75" s="781"/>
      <c r="P75" s="781"/>
      <c r="Q75" s="781"/>
      <c r="R75" s="781"/>
      <c r="S75" s="781"/>
      <c r="T75" s="781"/>
      <c r="U75" s="781"/>
      <c r="V75" s="781"/>
      <c r="W75" s="781"/>
      <c r="X75" s="819"/>
    </row>
    <row r="76" spans="1:24" ht="15.95" customHeight="1">
      <c r="A76" s="975"/>
      <c r="C76" s="47"/>
      <c r="E76" s="66" t="s">
        <v>884</v>
      </c>
      <c r="F76" s="99"/>
      <c r="G76" s="99"/>
      <c r="H76" s="31"/>
      <c r="I76" s="39"/>
      <c r="K76" s="818"/>
      <c r="L76" s="781"/>
      <c r="M76" s="781"/>
      <c r="N76" s="781"/>
      <c r="O76" s="781"/>
      <c r="P76" s="781"/>
      <c r="Q76" s="781"/>
      <c r="R76" s="781"/>
      <c r="S76" s="781"/>
      <c r="T76" s="781"/>
      <c r="U76" s="781"/>
      <c r="V76" s="781"/>
      <c r="W76" s="781"/>
      <c r="X76" s="819"/>
    </row>
    <row r="77" spans="1:24" ht="15.95" customHeight="1">
      <c r="A77" s="975"/>
      <c r="C77" s="47"/>
      <c r="E77" s="66" t="s">
        <v>885</v>
      </c>
      <c r="F77" s="99"/>
      <c r="G77" s="99"/>
      <c r="H77" s="31"/>
      <c r="I77" s="39"/>
      <c r="K77" s="818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1"/>
      <c r="W77" s="781"/>
      <c r="X77" s="819"/>
    </row>
    <row r="78" spans="1:24" ht="15.95" customHeight="1">
      <c r="A78" s="975"/>
      <c r="C78" s="47"/>
      <c r="E78" s="66" t="s">
        <v>886</v>
      </c>
      <c r="F78" s="99"/>
      <c r="G78" s="99"/>
      <c r="H78" s="31"/>
      <c r="I78" s="39"/>
      <c r="K78" s="818"/>
      <c r="L78" s="781"/>
      <c r="M78" s="781"/>
      <c r="N78" s="781"/>
      <c r="O78" s="781"/>
      <c r="P78" s="781"/>
      <c r="Q78" s="781"/>
      <c r="R78" s="781"/>
      <c r="S78" s="781"/>
      <c r="T78" s="781"/>
      <c r="U78" s="781"/>
      <c r="V78" s="781"/>
      <c r="W78" s="781"/>
      <c r="X78" s="819"/>
    </row>
    <row r="79" spans="1:24" ht="15.95" customHeight="1">
      <c r="A79" s="975"/>
      <c r="C79" s="47"/>
      <c r="E79" s="66" t="s">
        <v>887</v>
      </c>
      <c r="F79" s="99"/>
      <c r="G79" s="99"/>
      <c r="H79" s="31"/>
      <c r="I79" s="39"/>
      <c r="K79" s="818"/>
      <c r="L79" s="781"/>
      <c r="M79" s="781"/>
      <c r="N79" s="781"/>
      <c r="O79" s="781"/>
      <c r="P79" s="781"/>
      <c r="Q79" s="781"/>
      <c r="R79" s="781"/>
      <c r="S79" s="781"/>
      <c r="T79" s="781"/>
      <c r="U79" s="781"/>
      <c r="V79" s="781"/>
      <c r="W79" s="781"/>
      <c r="X79" s="819"/>
    </row>
    <row r="80" spans="1:24" ht="15.95" customHeight="1">
      <c r="A80" s="975"/>
      <c r="C80" s="47"/>
      <c r="D80" s="728" t="s">
        <v>888</v>
      </c>
      <c r="F80" s="99"/>
      <c r="G80" s="99"/>
      <c r="H80" s="31"/>
      <c r="I80" s="39"/>
      <c r="K80" s="818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819"/>
    </row>
    <row r="81" spans="1:24" ht="15.95" customHeight="1">
      <c r="A81" s="975"/>
      <c r="C81" s="47"/>
      <c r="E81" s="66" t="s">
        <v>889</v>
      </c>
      <c r="F81" s="99"/>
      <c r="G81" s="99"/>
      <c r="H81" s="31"/>
      <c r="I81" s="39"/>
      <c r="K81" s="818"/>
      <c r="L81" s="781"/>
      <c r="M81" s="781"/>
      <c r="N81" s="781"/>
      <c r="O81" s="781"/>
      <c r="P81" s="781"/>
      <c r="Q81" s="781"/>
      <c r="R81" s="781"/>
      <c r="S81" s="781"/>
      <c r="T81" s="781"/>
      <c r="U81" s="781"/>
      <c r="V81" s="781"/>
      <c r="W81" s="781"/>
      <c r="X81" s="819"/>
    </row>
    <row r="82" spans="1:24" ht="15.95" customHeight="1">
      <c r="A82" s="975"/>
      <c r="C82" s="47"/>
      <c r="E82" s="66" t="s">
        <v>890</v>
      </c>
      <c r="F82" s="99"/>
      <c r="G82" s="99"/>
      <c r="H82" s="31"/>
      <c r="I82" s="39"/>
      <c r="K82" s="818"/>
      <c r="L82" s="781"/>
      <c r="M82" s="781"/>
      <c r="N82" s="781"/>
      <c r="O82" s="781"/>
      <c r="P82" s="781"/>
      <c r="Q82" s="781"/>
      <c r="R82" s="781"/>
      <c r="S82" s="781"/>
      <c r="T82" s="781"/>
      <c r="U82" s="781"/>
      <c r="V82" s="781"/>
      <c r="W82" s="781"/>
      <c r="X82" s="819"/>
    </row>
    <row r="83" spans="1:24" ht="15.95" customHeight="1">
      <c r="A83" s="975"/>
      <c r="C83" s="47"/>
      <c r="E83" s="66" t="s">
        <v>891</v>
      </c>
      <c r="F83" s="99"/>
      <c r="G83" s="99"/>
      <c r="H83" s="31"/>
      <c r="I83" s="39"/>
      <c r="K83" s="818"/>
      <c r="L83" s="781"/>
      <c r="M83" s="781"/>
      <c r="N83" s="781"/>
      <c r="O83" s="781"/>
      <c r="P83" s="781"/>
      <c r="Q83" s="781"/>
      <c r="R83" s="781"/>
      <c r="S83" s="781"/>
      <c r="T83" s="781"/>
      <c r="U83" s="781"/>
      <c r="V83" s="781"/>
      <c r="W83" s="781"/>
      <c r="X83" s="819"/>
    </row>
    <row r="84" spans="1:24" ht="15.95" customHeight="1">
      <c r="A84" s="975"/>
      <c r="C84" s="47"/>
      <c r="E84" s="66" t="s">
        <v>892</v>
      </c>
      <c r="F84" s="99"/>
      <c r="G84" s="99"/>
      <c r="H84" s="31"/>
      <c r="I84" s="39"/>
      <c r="K84" s="818"/>
      <c r="L84" s="781"/>
      <c r="M84" s="781"/>
      <c r="N84" s="781"/>
      <c r="O84" s="781"/>
      <c r="P84" s="781"/>
      <c r="Q84" s="781"/>
      <c r="R84" s="781"/>
      <c r="S84" s="781"/>
      <c r="T84" s="781"/>
      <c r="U84" s="781"/>
      <c r="V84" s="781"/>
      <c r="W84" s="781"/>
      <c r="X84" s="819"/>
    </row>
    <row r="85" spans="1:24" ht="30" customHeight="1">
      <c r="A85" s="975"/>
      <c r="C85" s="47"/>
      <c r="D85" s="66" t="s">
        <v>893</v>
      </c>
      <c r="E85" s="632"/>
      <c r="F85" s="99"/>
      <c r="G85" s="99"/>
      <c r="H85" s="31"/>
      <c r="I85" s="39"/>
      <c r="K85" s="818"/>
      <c r="L85" s="781"/>
      <c r="M85" s="781"/>
      <c r="N85" s="781"/>
      <c r="O85" s="781"/>
      <c r="P85" s="781"/>
      <c r="Q85" s="781"/>
      <c r="R85" s="781"/>
      <c r="S85" s="781"/>
      <c r="T85" s="781"/>
      <c r="U85" s="781"/>
      <c r="V85" s="781"/>
      <c r="W85" s="781"/>
      <c r="X85" s="819"/>
    </row>
    <row r="86" spans="1:24" ht="23.1" customHeight="1" thickBot="1">
      <c r="A86" s="975"/>
      <c r="C86" s="50"/>
      <c r="D86" s="1148"/>
      <c r="E86" s="1148"/>
      <c r="F86" s="26"/>
      <c r="G86" s="26"/>
      <c r="H86" s="51"/>
      <c r="I86" s="52"/>
      <c r="K86" s="820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2"/>
    </row>
    <row r="87" spans="1:24" ht="23.1" customHeight="1">
      <c r="A87" s="369"/>
      <c r="J87" s="32" t="s">
        <v>140</v>
      </c>
    </row>
    <row r="88" spans="1:24" ht="15">
      <c r="A88" s="369"/>
      <c r="D88" s="53" t="s">
        <v>39</v>
      </c>
      <c r="H88" s="30" t="s">
        <v>894</v>
      </c>
    </row>
    <row r="89" spans="1:24" ht="15">
      <c r="A89" s="369"/>
      <c r="D89" s="53" t="s">
        <v>41</v>
      </c>
    </row>
    <row r="90" spans="1:24" ht="15">
      <c r="A90" s="369"/>
      <c r="D90" s="53" t="s">
        <v>42</v>
      </c>
    </row>
    <row r="91" spans="1:24" ht="15">
      <c r="A91" s="369"/>
      <c r="D91" s="53" t="s">
        <v>43</v>
      </c>
    </row>
    <row r="92" spans="1:24" ht="15">
      <c r="A92" s="369"/>
      <c r="D92" s="53" t="s">
        <v>44</v>
      </c>
    </row>
    <row r="93" spans="1:24" ht="23.1" customHeight="1">
      <c r="A93" s="369"/>
    </row>
    <row r="94" spans="1:24" ht="23.1" customHeight="1">
      <c r="A94" s="369"/>
    </row>
    <row r="95" spans="1:24" ht="23.1" customHeight="1">
      <c r="A95" s="369"/>
      <c r="D95" s="32" t="s">
        <v>895</v>
      </c>
    </row>
    <row r="96" spans="1:24" ht="23.1" customHeight="1">
      <c r="A96" s="369"/>
    </row>
  </sheetData>
  <sheetProtection algorithmName="SHA-512" hashValue="TrFmAM1N472rMU35h1sFlzalqvN681lNPHlIkKo/NoABWvEe12/B9PazI+LwbtfflSKwSipqZkQ+0M+FGZjA5A==" saltValue="cYHffHHQCo4e/w5U+8Optw==" spinCount="100000" sheet="1" objects="1" scenarios="1"/>
  <mergeCells count="21">
    <mergeCell ref="G28:H28"/>
    <mergeCell ref="G29:H29"/>
    <mergeCell ref="G30:H30"/>
    <mergeCell ref="G32:H32"/>
    <mergeCell ref="G33:H33"/>
    <mergeCell ref="H6:H7"/>
    <mergeCell ref="E9:H9"/>
    <mergeCell ref="D12:E12"/>
    <mergeCell ref="D86:E86"/>
    <mergeCell ref="G20:H20"/>
    <mergeCell ref="G21:H21"/>
    <mergeCell ref="G22:H22"/>
    <mergeCell ref="G23:H23"/>
    <mergeCell ref="G24:H24"/>
    <mergeCell ref="G25:H25"/>
    <mergeCell ref="G43:H43"/>
    <mergeCell ref="G44:H44"/>
    <mergeCell ref="D18:E18"/>
    <mergeCell ref="D20:E20"/>
    <mergeCell ref="D32:E32"/>
    <mergeCell ref="G26:H26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2:O76"/>
  <sheetViews>
    <sheetView zoomScale="55" zoomScaleNormal="55" workbookViewId="0">
      <pane ySplit="14" topLeftCell="A22" activePane="bottomLeft" state="frozen"/>
      <selection pane="bottomLeft" activeCell="I22" sqref="I22"/>
    </sheetView>
  </sheetViews>
  <sheetFormatPr baseColWidth="10" defaultColWidth="10.6640625" defaultRowHeight="23.1" customHeight="1"/>
  <cols>
    <col min="1" max="1" width="10.6640625" style="149"/>
    <col min="2" max="2" width="3" style="149" customWidth="1"/>
    <col min="3" max="3" width="3.109375" style="149" customWidth="1"/>
    <col min="4" max="4" width="12.109375" style="149" customWidth="1"/>
    <col min="5" max="5" width="68" style="149" customWidth="1"/>
    <col min="6" max="9" width="39.33203125" style="149" customWidth="1"/>
    <col min="10" max="10" width="3.5546875" style="149" customWidth="1"/>
    <col min="11" max="11" width="10.6640625" style="149"/>
    <col min="12" max="12" width="4.109375" style="149" customWidth="1"/>
    <col min="13" max="13" width="9.5546875" style="149" customWidth="1"/>
    <col min="14" max="14" width="11" style="149" customWidth="1"/>
    <col min="15" max="15" width="11.5546875" style="149" bestFit="1" customWidth="1"/>
    <col min="16" max="16384" width="10.6640625" style="149"/>
  </cols>
  <sheetData>
    <row r="2" spans="1:10" ht="23.1" customHeight="1">
      <c r="A2" s="369"/>
      <c r="B2" s="369"/>
      <c r="C2" s="369"/>
      <c r="D2" s="369"/>
      <c r="E2" s="347" t="str">
        <f>_GENERAL!D2</f>
        <v>Área de Presidencia, Hacienda y Modernización</v>
      </c>
      <c r="F2" s="369"/>
      <c r="G2" s="369"/>
      <c r="H2" s="369"/>
      <c r="I2" s="369"/>
      <c r="J2" s="369"/>
    </row>
    <row r="3" spans="1:10" ht="23.1" customHeight="1">
      <c r="A3" s="369"/>
      <c r="B3" s="369"/>
      <c r="C3" s="369"/>
      <c r="D3" s="369"/>
      <c r="E3" s="347" t="str">
        <f>_GENERAL!D3</f>
        <v>Dirección Insular de Hacienda</v>
      </c>
      <c r="F3" s="369"/>
      <c r="G3" s="369"/>
      <c r="H3" s="369"/>
      <c r="I3" s="369"/>
      <c r="J3" s="369"/>
    </row>
    <row r="4" spans="1:10" ht="23.1" customHeight="1" thickBot="1">
      <c r="A4" s="369"/>
      <c r="B4" s="369"/>
      <c r="C4" s="369"/>
      <c r="D4" s="369"/>
      <c r="E4" s="369"/>
      <c r="F4" s="369"/>
      <c r="G4" s="369"/>
      <c r="H4" s="369"/>
      <c r="I4" s="369"/>
      <c r="J4" s="369"/>
    </row>
    <row r="5" spans="1:10" ht="9" customHeight="1">
      <c r="A5" s="975"/>
      <c r="B5" s="369"/>
      <c r="C5" s="319" t="s">
        <v>45</v>
      </c>
      <c r="D5" s="964"/>
      <c r="E5" s="964"/>
      <c r="F5" s="964"/>
      <c r="G5" s="964"/>
      <c r="H5" s="964"/>
      <c r="I5" s="964"/>
      <c r="J5" s="965"/>
    </row>
    <row r="6" spans="1:10" ht="30" customHeight="1">
      <c r="A6" s="975"/>
      <c r="B6" s="369"/>
      <c r="C6" s="966"/>
      <c r="D6" s="1" t="s">
        <v>2</v>
      </c>
      <c r="E6" s="9"/>
      <c r="F6" s="9"/>
      <c r="G6" s="9"/>
      <c r="H6" s="369"/>
      <c r="I6" s="1140">
        <f>ejercicio</f>
        <v>2022</v>
      </c>
      <c r="J6" s="967"/>
    </row>
    <row r="7" spans="1:10" ht="30" customHeight="1">
      <c r="A7" s="975"/>
      <c r="B7" s="369"/>
      <c r="C7" s="966"/>
      <c r="D7" s="1" t="s">
        <v>3</v>
      </c>
      <c r="E7" s="369"/>
      <c r="F7" s="369"/>
      <c r="G7" s="369"/>
      <c r="H7" s="369"/>
      <c r="I7" s="1140">
        <v>2018</v>
      </c>
      <c r="J7" s="967"/>
    </row>
    <row r="8" spans="1:10" ht="30" customHeight="1">
      <c r="A8" s="975"/>
      <c r="B8" s="369"/>
      <c r="C8" s="966"/>
      <c r="D8" s="369"/>
      <c r="E8" s="369"/>
      <c r="F8" s="369"/>
      <c r="G8" s="369"/>
      <c r="H8" s="369"/>
      <c r="I8" s="7"/>
      <c r="J8" s="967"/>
    </row>
    <row r="9" spans="1:10" ht="30" customHeight="1">
      <c r="A9" s="900" t="s">
        <v>46</v>
      </c>
      <c r="B9" s="369"/>
      <c r="C9" s="966"/>
      <c r="D9" s="21" t="s">
        <v>47</v>
      </c>
      <c r="E9" s="1145" t="str">
        <f>Entidad</f>
        <v>FUNDACION CANARIA TENERIFE RURAL</v>
      </c>
      <c r="F9" s="1145"/>
      <c r="G9" s="1145"/>
      <c r="H9" s="1145"/>
      <c r="I9" s="1145"/>
      <c r="J9" s="967"/>
    </row>
    <row r="10" spans="1:10" ht="6.95" customHeight="1">
      <c r="A10" s="975"/>
      <c r="B10" s="369"/>
      <c r="C10" s="966"/>
      <c r="D10" s="369"/>
      <c r="E10" s="369"/>
      <c r="F10" s="369"/>
      <c r="G10" s="369"/>
      <c r="H10" s="369"/>
      <c r="I10" s="968"/>
      <c r="J10" s="967"/>
    </row>
    <row r="11" spans="1:10" s="1" customFormat="1" ht="30" customHeight="1">
      <c r="A11" s="901"/>
      <c r="C11" s="10"/>
      <c r="D11" s="317" t="s">
        <v>48</v>
      </c>
      <c r="E11" s="318"/>
      <c r="F11" s="318"/>
      <c r="G11" s="318"/>
      <c r="H11" s="318"/>
      <c r="I11" s="318"/>
      <c r="J11" s="11"/>
    </row>
    <row r="12" spans="1:10" ht="23.1" customHeight="1">
      <c r="A12" s="901"/>
      <c r="B12" s="369"/>
      <c r="C12" s="966"/>
      <c r="D12" s="369"/>
      <c r="E12" s="369"/>
      <c r="F12" s="369"/>
      <c r="G12" s="369"/>
      <c r="H12" s="369"/>
      <c r="I12" s="369"/>
      <c r="J12" s="967"/>
    </row>
    <row r="13" spans="1:10" ht="23.1" customHeight="1">
      <c r="A13" s="901"/>
      <c r="B13" s="369"/>
      <c r="C13" s="966"/>
      <c r="D13" s="369"/>
      <c r="E13" s="369"/>
      <c r="F13" s="315" t="s">
        <v>49</v>
      </c>
      <c r="G13" s="315" t="s">
        <v>50</v>
      </c>
      <c r="H13" s="315" t="s">
        <v>51</v>
      </c>
      <c r="I13" s="315" t="s">
        <v>52</v>
      </c>
      <c r="J13" s="967"/>
    </row>
    <row r="14" spans="1:10" ht="23.1" customHeight="1">
      <c r="A14" s="902"/>
      <c r="B14" s="369"/>
      <c r="C14" s="966"/>
      <c r="D14" s="369"/>
      <c r="E14" s="369"/>
      <c r="F14" s="316">
        <f>ejercicio-2</f>
        <v>2020</v>
      </c>
      <c r="G14" s="316">
        <f>ejercicio-1</f>
        <v>2021</v>
      </c>
      <c r="H14" s="316">
        <f>ejercicio-1</f>
        <v>2021</v>
      </c>
      <c r="I14" s="316">
        <f>ejercicio</f>
        <v>2022</v>
      </c>
      <c r="J14" s="967"/>
    </row>
    <row r="15" spans="1:10" ht="30" customHeight="1">
      <c r="A15" s="903"/>
      <c r="B15" s="369"/>
      <c r="C15" s="966"/>
      <c r="D15" s="825" t="s">
        <v>53</v>
      </c>
      <c r="E15" s="826"/>
      <c r="F15" s="350"/>
      <c r="G15" s="350"/>
      <c r="H15" s="350"/>
      <c r="I15" s="351" t="str">
        <f>IF('FC-1_ORGANOS_GOBIERNO'!Z16&gt;=1,"Mal, revisa datos en FC-1","Ok")</f>
        <v>Ok</v>
      </c>
      <c r="J15" s="967"/>
    </row>
    <row r="16" spans="1:10" ht="30" customHeight="1">
      <c r="A16" s="903"/>
      <c r="B16" s="369"/>
      <c r="C16" s="966"/>
      <c r="D16" s="349" t="s">
        <v>54</v>
      </c>
      <c r="E16" s="349"/>
      <c r="F16" s="350"/>
      <c r="G16" s="350"/>
      <c r="H16" s="350"/>
      <c r="I16" s="351" t="str">
        <f>IF('FC-1_ORGANOS_GOBIERNO'!Z38&gt;=1,"Mal, revisa datos en FC-1","Ok")</f>
        <v>Ok</v>
      </c>
      <c r="J16" s="967"/>
    </row>
    <row r="17" spans="1:15" ht="30" customHeight="1">
      <c r="A17" s="903"/>
      <c r="B17" s="369"/>
      <c r="C17" s="966"/>
      <c r="D17" s="349" t="s">
        <v>55</v>
      </c>
      <c r="E17" s="349"/>
      <c r="F17" s="350"/>
      <c r="G17" s="350"/>
      <c r="H17" s="350"/>
      <c r="I17" s="351" t="str">
        <f>IF('FC-1_ORGANOS_GOBIERNO'!Z40&gt;=1,"Mal, revisa datos en FC-1","Ok")</f>
        <v>Ok</v>
      </c>
      <c r="J17" s="967"/>
      <c r="K17" s="369"/>
      <c r="L17" s="369"/>
      <c r="M17" s="369"/>
      <c r="N17" s="369"/>
      <c r="O17" s="369"/>
    </row>
    <row r="18" spans="1:15" ht="30" customHeight="1">
      <c r="A18" s="903"/>
      <c r="B18" s="369"/>
      <c r="C18" s="966"/>
      <c r="D18" s="349" t="s">
        <v>56</v>
      </c>
      <c r="E18" s="349"/>
      <c r="F18" s="350"/>
      <c r="G18" s="350"/>
      <c r="H18" s="350"/>
      <c r="I18" s="351" t="str">
        <f>IF('FC-1_ORGANOS_GOBIERNO'!Z41&gt;=1,"Mal, revisa datos en FC-1","Ok")</f>
        <v>Ok</v>
      </c>
      <c r="J18" s="967"/>
      <c r="K18" s="369"/>
      <c r="L18" s="369"/>
      <c r="M18" s="369"/>
      <c r="N18" s="369"/>
      <c r="O18" s="369"/>
    </row>
    <row r="19" spans="1:15" ht="30" customHeight="1">
      <c r="A19" s="903"/>
      <c r="B19" s="369"/>
      <c r="C19" s="966"/>
      <c r="D19" s="825" t="s">
        <v>57</v>
      </c>
      <c r="E19" s="825"/>
      <c r="F19" s="350"/>
      <c r="G19" s="350"/>
      <c r="H19" s="350"/>
      <c r="I19" s="351" t="str">
        <f>IF('FC-2_ACCIONISTAS'!AH17=1,"Mal, revisa datos de accionista en FC-2","Ok")</f>
        <v>Ok</v>
      </c>
      <c r="J19" s="967"/>
      <c r="K19" s="369"/>
      <c r="L19" s="369"/>
      <c r="M19" s="369"/>
      <c r="N19" s="369"/>
      <c r="O19" s="369"/>
    </row>
    <row r="20" spans="1:15" ht="30" customHeight="1">
      <c r="A20" s="903"/>
      <c r="B20" s="369"/>
      <c r="C20" s="966"/>
      <c r="D20" s="825" t="s">
        <v>58</v>
      </c>
      <c r="E20" s="825"/>
      <c r="F20" s="350"/>
      <c r="G20" s="350"/>
      <c r="H20" s="350"/>
      <c r="I20" s="351" t="str">
        <f>IF(ROUND(SUM('FC-2_ACCIONISTAS'!G17:G28),2)=100%,"Ok","Revisa FC2, la suma del % accionistas no da 100%")</f>
        <v>Ok</v>
      </c>
      <c r="J20" s="967"/>
      <c r="K20" s="369"/>
      <c r="L20" s="369"/>
      <c r="M20" s="369"/>
      <c r="N20" s="369"/>
      <c r="O20" s="369"/>
    </row>
    <row r="21" spans="1:15" ht="30" customHeight="1">
      <c r="A21" s="903"/>
      <c r="B21" s="369"/>
      <c r="C21" s="966"/>
      <c r="D21" s="349" t="s">
        <v>59</v>
      </c>
      <c r="E21" s="349"/>
      <c r="F21" s="350"/>
      <c r="G21" s="350"/>
      <c r="H21" s="350"/>
      <c r="I21" s="351" t="str">
        <f>IF('FC-2_ACCIONISTAS'!AH48=1,"Mal, revisa datos del auditor en FC-2","Ok")</f>
        <v>Ok</v>
      </c>
      <c r="J21" s="967"/>
      <c r="K21" s="369"/>
      <c r="L21" s="369"/>
      <c r="M21" s="369"/>
      <c r="N21" s="369"/>
      <c r="O21" s="369"/>
    </row>
    <row r="22" spans="1:15" ht="30" customHeight="1">
      <c r="A22" s="903"/>
      <c r="B22" s="369"/>
      <c r="C22" s="966"/>
      <c r="D22" s="349" t="s">
        <v>60</v>
      </c>
      <c r="E22" s="349"/>
      <c r="F22" s="350"/>
      <c r="G22" s="350"/>
      <c r="H22" s="350"/>
      <c r="I22" s="351" t="str">
        <f>IF(ROUND('FC-3_CPyG'!I60,2)&gt;=0,"Ok","Mal, revisa resultado FC-3")</f>
        <v>Ok</v>
      </c>
      <c r="J22" s="967"/>
      <c r="K22" s="369"/>
      <c r="L22" s="369"/>
      <c r="M22" s="369"/>
      <c r="N22" s="369"/>
      <c r="O22" s="369"/>
    </row>
    <row r="23" spans="1:15" s="162" customFormat="1" ht="30" customHeight="1">
      <c r="A23" s="903"/>
      <c r="B23" s="347"/>
      <c r="C23" s="348"/>
      <c r="D23" s="349" t="s">
        <v>61</v>
      </c>
      <c r="E23" s="349"/>
      <c r="F23" s="351" t="str">
        <f>IF(ROUND('FC-4_ACTIVO'!F36-'FC-4_PASIVO'!F58,2)=0,"Ok","Mal, revisa FC-4")</f>
        <v>Ok</v>
      </c>
      <c r="G23" s="351" t="str">
        <f>IF(ROUND('FC-4_ACTIVO'!G36-'FC-4_PASIVO'!G58,2)=0,"Ok","Mal, revisa FC-4")</f>
        <v>Ok</v>
      </c>
      <c r="H23" s="351" t="str">
        <f>IF(ROUND('FC-4_ACTIVO'!H36-'FC-4_PASIVO'!H58,2)=0,"Ok","Mal, revisa FC-4")</f>
        <v>Ok</v>
      </c>
      <c r="I23" s="351" t="str">
        <f>IF(ROUND('FC-4_ACTIVO'!I36-'FC-4_PASIVO'!I58,2)=0,"Ok","Mal, revisa FC-4")</f>
        <v>Ok</v>
      </c>
      <c r="J23" s="352"/>
      <c r="K23" s="369"/>
      <c r="L23" s="369"/>
      <c r="M23" s="369"/>
      <c r="N23" s="369"/>
      <c r="O23" s="369"/>
    </row>
    <row r="24" spans="1:15" s="162" customFormat="1" ht="30" customHeight="1">
      <c r="A24" s="903"/>
      <c r="B24" s="347"/>
      <c r="C24" s="348"/>
      <c r="D24" s="349" t="s">
        <v>62</v>
      </c>
      <c r="E24" s="349"/>
      <c r="F24" s="351" t="str">
        <f>IF(ROUND(('FC-3_CPyG'!F60-'FC-4_PASIVO'!F23),2)=0,"Ok","Mal, revisa FC-3 y FC-4")</f>
        <v>Ok</v>
      </c>
      <c r="G24" s="351" t="str">
        <f>IF(ROUND(('FC-3_CPyG'!G60-'FC-4_PASIVO'!G23),2)=0,"Ok","Mal, revisa FC-3 y FC-4")</f>
        <v>Ok</v>
      </c>
      <c r="H24" s="351" t="str">
        <f>IF(ROUND(('FC-3_CPyG'!H60-'FC-4_PASIVO'!H23),2)=0,"Ok","Mal, revisa FC-3 y FC-4")</f>
        <v>Ok</v>
      </c>
      <c r="I24" s="351" t="str">
        <f>IF(ROUND(('FC-3_CPyG'!I60-'FC-4_PASIVO'!I23),2)=0,"Ok","Mal, revisa FC-3 y FC-4")</f>
        <v>Ok</v>
      </c>
      <c r="J24" s="352"/>
      <c r="K24" s="369"/>
      <c r="L24" s="369"/>
      <c r="M24" s="369"/>
      <c r="N24" s="369"/>
      <c r="O24" s="369"/>
    </row>
    <row r="25" spans="1:15" s="162" customFormat="1" ht="30" customHeight="1">
      <c r="A25" s="903"/>
      <c r="B25" s="347"/>
      <c r="C25" s="348"/>
      <c r="D25" s="349" t="s">
        <v>63</v>
      </c>
      <c r="E25" s="349"/>
      <c r="F25" s="350"/>
      <c r="G25" s="350"/>
      <c r="H25" s="351" t="str">
        <f>IF(ROUND('FC-3_CPyG'!H85,2)=ROUND('FC-4_PASIVO'!H16-'FC-4_PASIVO'!F16,2),"Ok","Revisa FC-3, I) y variación PN FC-4 Pasivo")</f>
        <v>Ok</v>
      </c>
      <c r="I25" s="351" t="str">
        <f>IF(ROUND('FC-3_CPyG'!I85,2)=ROUND('FC-4_PASIVO'!I16-'FC-4_PASIVO'!H16,2),"Ok","Revisa FC-3, I) y variación PN FC-4 Pasivo")</f>
        <v>Ok</v>
      </c>
      <c r="J25" s="352"/>
      <c r="K25" s="369"/>
      <c r="L25" s="369"/>
      <c r="M25" s="369"/>
      <c r="N25" s="369"/>
      <c r="O25" s="369"/>
    </row>
    <row r="26" spans="1:15" s="162" customFormat="1" ht="30" customHeight="1">
      <c r="A26" s="903"/>
      <c r="B26" s="347"/>
      <c r="C26" s="348"/>
      <c r="D26" s="349" t="s">
        <v>64</v>
      </c>
      <c r="E26" s="349"/>
      <c r="F26" s="351" t="str">
        <f>IF(ROUND('FC-3_CPyG'!F22-'FC-3_1_INF_ADIC_CPyG'!F43,2)=0,"Ok","Mal, revisa datos en FC-3 PyG y FC3.1")</f>
        <v>Ok</v>
      </c>
      <c r="G26" s="350"/>
      <c r="H26" s="351" t="str">
        <f>IF(ROUND('FC-3_CPyG'!H22-'FC-3_1_INF_ADIC_CPyG'!I43,2)=0,"Ok","Mal, revisa datos en FC-3 PyG y FC3.1")</f>
        <v>Ok</v>
      </c>
      <c r="I26" s="351" t="str">
        <f>IF(ROUND('FC-3_CPyG'!I22-'FC-3_1_INF_ADIC_CPyG'!L43,2)=0,"Ok","Mal, revisa datos en FC-3 PyG y FC3.1")</f>
        <v>Ok</v>
      </c>
      <c r="J26" s="352"/>
      <c r="K26" s="369"/>
      <c r="L26" s="369"/>
      <c r="M26" s="369"/>
      <c r="N26" s="369"/>
      <c r="O26" s="369"/>
    </row>
    <row r="27" spans="1:15" s="162" customFormat="1" ht="30" customHeight="1">
      <c r="A27" s="903"/>
      <c r="B27" s="347"/>
      <c r="C27" s="348"/>
      <c r="D27" s="349" t="s">
        <v>65</v>
      </c>
      <c r="E27" s="349"/>
      <c r="F27" s="351" t="str">
        <f>IF(ROUND('FC-3_CPyG'!F31-'FC-3_1_INF_ADIC_CPyG'!F73,2)=0,"Ok","Mal, revísa datos en FC-3 y FC-3.1")</f>
        <v>Ok</v>
      </c>
      <c r="G27" s="350"/>
      <c r="H27" s="351" t="str">
        <f>IF(ROUND('FC-3_CPyG'!H31-'FC-3_1_INF_ADIC_CPyG'!G73,2)=0,"Ok","Mal, revísa datos en FC-3 y FC-3.1")</f>
        <v>Ok</v>
      </c>
      <c r="I27" s="351" t="str">
        <f>IF(ROUND('FC-3_CPyG'!I31-'FC-3_1_INF_ADIC_CPyG'!H73,2)=0,"Ok","Mal, revísa datos en FC-3 y FC-3.1")</f>
        <v>Ok</v>
      </c>
      <c r="J27" s="352"/>
      <c r="K27" s="369"/>
      <c r="L27" s="369"/>
      <c r="M27" s="369"/>
      <c r="N27" s="369"/>
      <c r="O27" s="369"/>
    </row>
    <row r="28" spans="1:15" s="162" customFormat="1" ht="30" customHeight="1">
      <c r="A28" s="903"/>
      <c r="B28" s="347"/>
      <c r="C28" s="348"/>
      <c r="D28" s="349" t="s">
        <v>66</v>
      </c>
      <c r="E28" s="349"/>
      <c r="F28" s="351" t="str">
        <f>IF(ROUND('FC-3_CPyG'!F42-'FC-3_1_INF_ADIC_CPyG'!F47-'FC-3_1_INF_ADIC_CPyG'!F56,2)=0,"Ok","Mal, revisa datos en FC-3 CPYG y FC-3.1")</f>
        <v>Ok</v>
      </c>
      <c r="G28" s="350"/>
      <c r="H28" s="351" t="str">
        <f>IF(ROUND('FC-3_CPyG'!H42-'FC-3_1_INF_ADIC_CPyG'!G47-'FC-3_1_INF_ADIC_CPyG'!G56,2)=0,"Ok","Mal, revisa datos en FC-3 CPYG y FC-3.1")</f>
        <v>Ok</v>
      </c>
      <c r="I28" s="351" t="str">
        <f>IF(ROUND('FC-3_CPyG'!I42-'FC-3_1_INF_ADIC_CPyG'!H47-'FC-3_1_INF_ADIC_CPyG'!H56,2)=0,"Ok","Mal, revisa datos en FC-3 CPYG y FC-3.1")</f>
        <v>Ok</v>
      </c>
      <c r="J28" s="352"/>
      <c r="K28" s="369"/>
      <c r="L28" s="369"/>
      <c r="M28" s="369"/>
      <c r="N28" s="369"/>
      <c r="O28" s="369"/>
    </row>
    <row r="29" spans="1:15" s="162" customFormat="1" ht="30" customHeight="1">
      <c r="A29" s="903"/>
      <c r="B29" s="347"/>
      <c r="C29" s="348"/>
      <c r="D29" s="349" t="s">
        <v>67</v>
      </c>
      <c r="E29" s="349"/>
      <c r="F29" s="350"/>
      <c r="G29" s="350"/>
      <c r="H29" s="350"/>
      <c r="I29" s="351" t="str">
        <f>IF(ROUND('FC-6_Inversiones'!H46-SUM('FC-6_Inversiones'!I46:N46),2)=0,"Ok","Mal, revisa totales FC-6")</f>
        <v>Ok</v>
      </c>
      <c r="J29" s="352"/>
      <c r="K29" s="369"/>
      <c r="L29" s="369"/>
      <c r="M29" s="369"/>
      <c r="N29" s="369"/>
      <c r="O29" s="369"/>
    </row>
    <row r="30" spans="1:15" s="162" customFormat="1" ht="30" customHeight="1">
      <c r="A30" s="903"/>
      <c r="B30" s="347"/>
      <c r="C30" s="348"/>
      <c r="D30" s="349" t="s">
        <v>68</v>
      </c>
      <c r="E30" s="349"/>
      <c r="F30" s="350"/>
      <c r="G30" s="350"/>
      <c r="H30" s="351" t="str">
        <f>IF(ROUND('FC-4_ACTIVO'!H17-'FC-7_INF'!N15,2)=0,"Ok","Mal, revisa FC-4 ACTIVO y FC-7")</f>
        <v>Ok</v>
      </c>
      <c r="I30" s="351" t="str">
        <f>IF(ROUND('FC-4_ACTIVO'!I17-'FC-7_INF'!N26,2)=0,"Ok","Mal, revisa FC-4 ACTIVO y FC-7")</f>
        <v>Ok</v>
      </c>
      <c r="J30" s="352"/>
      <c r="K30" s="369"/>
      <c r="L30" s="369"/>
      <c r="M30" s="369"/>
      <c r="N30" s="369"/>
      <c r="O30" s="369"/>
    </row>
    <row r="31" spans="1:15" s="162" customFormat="1" ht="30" customHeight="1">
      <c r="A31" s="903"/>
      <c r="B31" s="347"/>
      <c r="C31" s="348"/>
      <c r="D31" s="349" t="s">
        <v>69</v>
      </c>
      <c r="E31" s="349"/>
      <c r="F31" s="350"/>
      <c r="G31" s="350"/>
      <c r="H31" s="351" t="str">
        <f>IF(ROUND('FC-4_ACTIVO'!H19-'FC-7_INF'!N16-'FC-7_INF'!N17,2)=0,"Ok","Mal, revisa FC-4 ACTIVO y FC-7")</f>
        <v>Ok</v>
      </c>
      <c r="I31" s="351" t="str">
        <f>IF(ROUND('FC-4_ACTIVO'!I19-'FC-7_INF'!N27-'FC-7_INF'!N28,2)=0,"Ok","Mal, revisa FC-4 ACTIVO y FC-7")</f>
        <v>Ok</v>
      </c>
      <c r="J31" s="352"/>
      <c r="K31" s="369"/>
      <c r="L31" s="369"/>
      <c r="M31" s="369"/>
      <c r="N31" s="369"/>
      <c r="O31" s="369"/>
    </row>
    <row r="32" spans="1:15" s="162" customFormat="1" ht="30" customHeight="1">
      <c r="A32" s="903"/>
      <c r="B32" s="347"/>
      <c r="C32" s="348"/>
      <c r="D32" s="349" t="s">
        <v>70</v>
      </c>
      <c r="E32" s="349"/>
      <c r="F32" s="350"/>
      <c r="G32" s="350"/>
      <c r="H32" s="351" t="str">
        <f>IF(ROUND(('FC-4_ACTIVO'!H20-'FC-7_INF'!N18-'FC-7_INF'!N19),2)=0,"Ok","Mal, revisa FC-4 ACTIVO y FC-7")</f>
        <v>Ok</v>
      </c>
      <c r="I32" s="351" t="str">
        <f>IF(ROUND(('FC-4_ACTIVO'!I20-'FC-7_INF'!N29-'FC-7_INF'!N30),2)=0,"Ok","Mal, revisa FC-4 ACTIVO y FC-7")</f>
        <v>Ok</v>
      </c>
      <c r="J32" s="352"/>
      <c r="K32" s="369"/>
      <c r="L32" s="369"/>
      <c r="M32" s="369"/>
      <c r="N32" s="369"/>
      <c r="O32" s="369"/>
    </row>
    <row r="33" spans="1:15" s="162" customFormat="1" ht="30" customHeight="1">
      <c r="A33" s="903"/>
      <c r="B33" s="347"/>
      <c r="C33" s="348"/>
      <c r="D33" s="349" t="s">
        <v>71</v>
      </c>
      <c r="E33" s="349"/>
      <c r="F33" s="350"/>
      <c r="G33" s="350"/>
      <c r="H33" s="351" t="str">
        <f>IF(ROUND('FC-7_INF'!N22-'FC-4_ACTIVO'!H26,2)=0,"Ok","Mal, revisa FC-4 ACTIVO y FC-7")</f>
        <v>Ok</v>
      </c>
      <c r="I33" s="351" t="str">
        <f>IF(ROUND('FC-7_INF'!N33-'FC-4_ACTIVO'!I26,2)=0,"Ok","Mal, revisa FC-4 ACTIVO y FC-7")</f>
        <v>Ok</v>
      </c>
      <c r="J33" s="352"/>
      <c r="K33" s="369"/>
      <c r="L33" s="369"/>
      <c r="M33" s="369"/>
      <c r="N33" s="369"/>
      <c r="O33" s="369"/>
    </row>
    <row r="34" spans="1:15" s="162" customFormat="1" ht="30" customHeight="1">
      <c r="A34" s="903"/>
      <c r="B34" s="347"/>
      <c r="C34" s="348"/>
      <c r="D34" s="349" t="s">
        <v>72</v>
      </c>
      <c r="E34" s="349"/>
      <c r="F34" s="350"/>
      <c r="G34" s="350"/>
      <c r="H34" s="351" t="str">
        <f>IF(ROUND('FC-3_CPyG'!H38-'FC-7_INF'!J20,2)=0,"Ok","Mal, revisa datos en FC-3 y FC-7")</f>
        <v>Ok</v>
      </c>
      <c r="I34" s="351" t="str">
        <f>IF(ROUND('FC-3_CPyG'!I38-'FC-7_INF'!J31,2)=0,"Ok","Mal, revisa datos en FC-3 y FC-7")</f>
        <v>Ok</v>
      </c>
      <c r="J34" s="352"/>
      <c r="K34" s="369"/>
      <c r="L34" s="369"/>
      <c r="M34" s="369"/>
      <c r="N34" s="369"/>
      <c r="O34" s="369"/>
    </row>
    <row r="35" spans="1:15" s="162" customFormat="1" ht="30" customHeight="1">
      <c r="A35" s="903"/>
      <c r="B35" s="347"/>
      <c r="C35" s="348"/>
      <c r="D35" s="349" t="s">
        <v>73</v>
      </c>
      <c r="E35" s="349"/>
      <c r="F35" s="350"/>
      <c r="G35" s="350"/>
      <c r="H35" s="350"/>
      <c r="I35" s="351" t="str">
        <f>IF(ROUND('FC-6_Inversiones'!J46-'FC-7_INF'!G31,2)=0,"Ok","Mal, revisa I46 en FC-6 y F31 en FC-7")</f>
        <v>Ok</v>
      </c>
      <c r="J35" s="352"/>
      <c r="K35" s="369"/>
      <c r="L35" s="369"/>
      <c r="M35" s="369"/>
      <c r="N35" s="369"/>
      <c r="O35" s="369"/>
    </row>
    <row r="36" spans="1:15" s="162" customFormat="1" ht="30" customHeight="1">
      <c r="A36" s="903"/>
      <c r="B36" s="347"/>
      <c r="C36" s="348"/>
      <c r="D36" s="349" t="s">
        <v>74</v>
      </c>
      <c r="E36" s="976"/>
      <c r="F36" s="977"/>
      <c r="G36" s="977"/>
      <c r="H36" s="978" t="str">
        <f>IF(ROUND(('FC-4_ACTIVO'!H21+'FC-4_ACTIVO'!H31)-('FC-8_INV_FINANCIERAS'!G25+'FC-8_INV_FINANCIERAS'!G34),2)=0,"Ok","Mal, revisa datos en FC-4 Activo y FC-8")</f>
        <v>Ok</v>
      </c>
      <c r="I36" s="978" t="str">
        <f>IF(ROUND(('FC-4_ACTIVO'!I21+'FC-4_ACTIVO'!I31)-('FC-8_INV_FINANCIERAS'!K25+'FC-8_INV_FINANCIERAS'!K34),2)=0,"Ok","Mal, revisa datos en FC-4 Activo y FC-8")</f>
        <v>Ok</v>
      </c>
      <c r="J36" s="352"/>
      <c r="K36" s="369"/>
      <c r="L36" s="369"/>
      <c r="M36" s="369"/>
      <c r="N36" s="369"/>
      <c r="O36" s="369"/>
    </row>
    <row r="37" spans="1:15" s="162" customFormat="1" ht="30" customHeight="1">
      <c r="A37" s="903"/>
      <c r="B37" s="347"/>
      <c r="C37" s="348"/>
      <c r="D37" s="349" t="s">
        <v>75</v>
      </c>
      <c r="E37" s="976"/>
      <c r="F37" s="977"/>
      <c r="G37" s="977"/>
      <c r="H37" s="978" t="str">
        <f>IF(ROUND(('FC-4_ACTIVO'!H22+'FC-4_ACTIVO'!H32)-('FC-8_INV_FINANCIERAS'!G49+'FC-8_INV_FINANCIERAS'!G58),2)=0,"Ok","Mal, revisa datos en FC-4 Activo y en FC-8")</f>
        <v>Ok</v>
      </c>
      <c r="I37" s="978" t="str">
        <f>IF(ROUND(('FC-4_ACTIVO'!I22+'FC-4_ACTIVO'!I32)-('FC-8_INV_FINANCIERAS'!K49+'FC-8_INV_FINANCIERAS'!K58),2)=0,"Ok","Mal, revisa datos en FC-4 Activo y en FC-8")</f>
        <v>Ok</v>
      </c>
      <c r="J37" s="352"/>
      <c r="K37" s="369"/>
      <c r="L37" s="369"/>
      <c r="M37" s="369"/>
      <c r="N37" s="369"/>
      <c r="O37" s="369"/>
    </row>
    <row r="38" spans="1:15" s="162" customFormat="1" ht="30" customHeight="1">
      <c r="A38" s="903"/>
      <c r="B38" s="347"/>
      <c r="C38" s="348"/>
      <c r="D38" s="349" t="s">
        <v>76</v>
      </c>
      <c r="E38" s="349"/>
      <c r="F38" s="977"/>
      <c r="G38" s="977"/>
      <c r="H38" s="979" t="str">
        <f>IF(ROUND('FC-9_TRANS_SUBV'!H43-'FC-9_TRANS_SUBV'!I43-'FC-9_TRANS_SUBV'!J43,2)=0,"Ok","Mal, revisa en FC-9 línea original 31")</f>
        <v>Ok</v>
      </c>
      <c r="I38" s="979" t="str">
        <f>IF(ROUND('FC-9_TRANS_SUBV'!K43-'FC-9_TRANS_SUBV'!L43-'FC-9_TRANS_SUBV'!M43,2)=0,"Ok","Mal, revisa en FC-9 línea original 31")</f>
        <v>Ok</v>
      </c>
      <c r="J38" s="352"/>
      <c r="K38" s="369"/>
      <c r="L38" s="369"/>
      <c r="M38" s="369"/>
      <c r="N38" s="369"/>
      <c r="O38" s="369"/>
    </row>
    <row r="39" spans="1:15" s="162" customFormat="1" ht="30" customHeight="1">
      <c r="A39" s="903"/>
      <c r="B39" s="347"/>
      <c r="C39" s="348"/>
      <c r="D39" s="349" t="s">
        <v>77</v>
      </c>
      <c r="E39" s="349"/>
      <c r="F39" s="350"/>
      <c r="G39" s="350"/>
      <c r="H39" s="351" t="str">
        <f>IF(ROUND('FC-4_PASIVO'!H25-'FC-9_TRANS_SUBV'!I46,2)=0,"Ok","Mal, revisa FC-4 PASIVO y FC-9")</f>
        <v>Ok</v>
      </c>
      <c r="I39" s="351" t="str">
        <f>IF(ROUND('FC-4_PASIVO'!I25-'FC-9_TRANS_SUBV'!L46,2)=0,"Ok","Mal, revisa FC-4 PASIVO y FC-9")</f>
        <v>Ok</v>
      </c>
      <c r="J39" s="352"/>
      <c r="K39" s="369"/>
      <c r="L39" s="369"/>
      <c r="M39" s="369"/>
      <c r="N39" s="369"/>
      <c r="O39" s="369"/>
    </row>
    <row r="40" spans="1:15" s="347" customFormat="1" ht="30" customHeight="1">
      <c r="A40" s="903"/>
      <c r="C40" s="348"/>
      <c r="D40" s="349" t="s">
        <v>78</v>
      </c>
      <c r="E40" s="349"/>
      <c r="F40" s="350"/>
      <c r="G40" s="350"/>
      <c r="H40" s="351" t="str">
        <f>IF(ROUND('FC-4_PASIVO'!H37-'FC-9_TRANS_SUBV'!J46,2)=0,"Ok","Mal, revisa FC-4 PASIVO y FC-9")</f>
        <v>Ok</v>
      </c>
      <c r="I40" s="351" t="str">
        <f>IF(ROUND('FC-4_PASIVO'!I37-'FC-9_TRANS_SUBV'!M46,2)=0,"Ok","Mal, revisa FC-4 PASIVO y FC-9")</f>
        <v>Ok</v>
      </c>
      <c r="J40" s="352"/>
      <c r="M40" s="699"/>
      <c r="N40" s="699"/>
      <c r="O40" s="699"/>
    </row>
    <row r="41" spans="1:15" s="347" customFormat="1" ht="30" customHeight="1">
      <c r="A41" s="903"/>
      <c r="C41" s="348"/>
      <c r="D41" s="349" t="s">
        <v>79</v>
      </c>
      <c r="E41" s="349"/>
      <c r="F41" s="350"/>
      <c r="G41" s="350"/>
      <c r="H41" s="351" t="str">
        <f>IF(ROUND('FC-3_CPyG'!H39+('FC-9_TRANS_SUBV'!H45),2)=0,"Ok","Mal, revisa datos FC-3 epígr. A) 9. y FC-9 celda F33")</f>
        <v>Ok</v>
      </c>
      <c r="I41" s="351" t="str">
        <f>IF(ROUND('FC-3_CPyG'!I39+('FC-9_TRANS_SUBV'!K45),2)=0,"Ok","Mal, revisa datos FC-3 epígr. A) 9. y FC-9 celda G33")</f>
        <v>Ok</v>
      </c>
      <c r="J41" s="352"/>
      <c r="K41" s="369"/>
      <c r="L41" s="369"/>
      <c r="M41" s="369"/>
      <c r="N41" s="369"/>
      <c r="O41" s="369"/>
    </row>
    <row r="42" spans="1:15" s="162" customFormat="1" ht="30" customHeight="1">
      <c r="A42" s="903"/>
      <c r="B42" s="347"/>
      <c r="C42" s="348"/>
      <c r="D42" s="349" t="s">
        <v>80</v>
      </c>
      <c r="E42" s="349"/>
      <c r="F42" s="350"/>
      <c r="G42" s="350"/>
      <c r="H42" s="351" t="str">
        <f>IF(ROUND('FC-3_CPyG'!H20-'FC-9_TRANS_SUBV'!H85-'FC-9_TRANS_SUBV'!H104,2)=0,"Ok","Mal, revisa dato en FC-3 y FC-9")</f>
        <v>Ok</v>
      </c>
      <c r="I42" s="351" t="str">
        <f>IF(ROUND('FC-3_CPyG'!I20-'FC-9_TRANS_SUBV'!I85-'FC-9_TRANS_SUBV'!I104,2)=0,"Ok","Mal, revisa dato en FC-3 y FC-9")</f>
        <v>Ok</v>
      </c>
      <c r="J42" s="352"/>
      <c r="K42" s="369"/>
      <c r="L42" s="369"/>
      <c r="M42" s="369"/>
      <c r="N42" s="369"/>
      <c r="O42" s="369"/>
    </row>
    <row r="43" spans="1:15" s="162" customFormat="1" ht="30" customHeight="1">
      <c r="A43" s="903"/>
      <c r="B43" s="347"/>
      <c r="C43" s="348"/>
      <c r="D43" s="349" t="s">
        <v>81</v>
      </c>
      <c r="E43" s="349"/>
      <c r="F43" s="350"/>
      <c r="G43" s="350"/>
      <c r="H43" s="351" t="str">
        <f>IF(ROUND('FC-3_1_INF_ADIC_CPyG'!G81-'FC-9_TRANS_SUBV'!H86-'FC-9_TRANS_SUBV'!H105,2)=0,"Ok","Mal, revisa dato en FC-3_1 y FC-9")</f>
        <v>Ok</v>
      </c>
      <c r="I43" s="351" t="str">
        <f>IF(ROUND('FC-3_1_INF_ADIC_CPyG'!H81-'FC-9_TRANS_SUBV'!I86-'FC-9_TRANS_SUBV'!I105,2)=0,"Ok","Mal, revisa dato en FC-3_1 y FC-9")</f>
        <v>Ok</v>
      </c>
      <c r="J43" s="352"/>
      <c r="K43" s="369"/>
      <c r="L43" s="369"/>
      <c r="M43" s="369"/>
      <c r="N43" s="369"/>
      <c r="O43" s="369"/>
    </row>
    <row r="44" spans="1:15" s="162" customFormat="1" ht="30" customHeight="1">
      <c r="A44" s="903"/>
      <c r="B44" s="347"/>
      <c r="C44" s="348"/>
      <c r="D44" s="349" t="s">
        <v>82</v>
      </c>
      <c r="E44" s="349"/>
      <c r="F44" s="350"/>
      <c r="G44" s="748"/>
      <c r="H44" s="1146" t="str">
        <f>IF(ROUND((+'FC-4_PASIVO'!H30+'FC-4_PASIVO'!H31+'FC-4_PASIVO'!H44+'FC-4_PASIVO'!H45)-('FC-10_DEUDAS'!M43),2)=0,"Ok","Mal, revisa datos en FC-4 PASIVO y FC-10")</f>
        <v>Ok</v>
      </c>
      <c r="I44" s="351" t="str">
        <f>IF(ROUND((+'FC-4_PASIVO'!I30+'FC-4_PASIVO'!I31)-('FC-10_DEUDAS'!T43),2)=0,"Ok","Mal, revisa datos en FC-4 PASIVO y FC-10")</f>
        <v>Ok</v>
      </c>
      <c r="J44" s="352"/>
      <c r="K44" s="369"/>
      <c r="L44" s="369"/>
      <c r="M44" s="369"/>
      <c r="N44" s="369"/>
      <c r="O44" s="369"/>
    </row>
    <row r="45" spans="1:15" s="162" customFormat="1" ht="30" customHeight="1">
      <c r="A45" s="903"/>
      <c r="B45" s="347"/>
      <c r="C45" s="348"/>
      <c r="D45" s="349" t="s">
        <v>83</v>
      </c>
      <c r="E45" s="349"/>
      <c r="F45" s="350"/>
      <c r="G45" s="892"/>
      <c r="H45" s="1147"/>
      <c r="I45" s="351" t="str">
        <f>IF(ROUND(('FC-4_PASIVO'!I44+'FC-4_PASIVO'!I45)-('FC-10_DEUDAS'!S43),2)=0,"Ok","Mal, revisa datos en FC-4 PASIVO y FC-10")</f>
        <v>Ok</v>
      </c>
      <c r="J45" s="352"/>
      <c r="K45" s="369"/>
      <c r="L45" s="369"/>
      <c r="M45" s="369"/>
      <c r="N45" s="369"/>
      <c r="O45" s="369"/>
    </row>
    <row r="46" spans="1:15" s="347" customFormat="1" ht="30" customHeight="1">
      <c r="A46" s="903"/>
      <c r="C46" s="348"/>
      <c r="D46" s="349" t="s">
        <v>84</v>
      </c>
      <c r="E46" s="349"/>
      <c r="F46" s="350"/>
      <c r="G46" s="748"/>
      <c r="H46" s="1146" t="str">
        <f>IF(ROUND('FC-4_PASIVO'!H33+'FC-4_PASIVO'!H47-'FC-10_DEUDAS'!M75,2)=0,"Ok","Mal, revisa datos en FC-4 Pasivo y FC-10")</f>
        <v>Ok</v>
      </c>
      <c r="I46" s="351" t="str">
        <f>IF(ROUND('FC-4_PASIVO'!I33-'FC-10_DEUDAS'!T75,2)=0,"Ok","Mal, revisa datos en FC-4 Pasivo y FC-10")</f>
        <v>Ok</v>
      </c>
      <c r="J46" s="352"/>
      <c r="M46" s="699"/>
      <c r="N46" s="699"/>
      <c r="O46" s="699"/>
    </row>
    <row r="47" spans="1:15" s="347" customFormat="1" ht="30" customHeight="1">
      <c r="A47" s="903"/>
      <c r="C47" s="348"/>
      <c r="D47" s="349" t="s">
        <v>85</v>
      </c>
      <c r="E47" s="349"/>
      <c r="F47" s="350"/>
      <c r="G47" s="892"/>
      <c r="H47" s="1147"/>
      <c r="I47" s="351" t="str">
        <f>IF(ROUND('FC-4_PASIVO'!I47-'FC-10_DEUDAS'!S75,2)=0,"Ok","Mal, revisa datos en FC-4 Pasivo y FC-10")</f>
        <v>Ok</v>
      </c>
      <c r="J47" s="352"/>
      <c r="M47" s="699"/>
      <c r="N47" s="699"/>
      <c r="O47" s="699"/>
    </row>
    <row r="48" spans="1:15" s="347" customFormat="1" ht="30" customHeight="1">
      <c r="A48" s="903"/>
      <c r="C48" s="348"/>
      <c r="D48" s="349" t="s">
        <v>86</v>
      </c>
      <c r="E48" s="349"/>
      <c r="F48" s="350"/>
      <c r="G48" s="350"/>
      <c r="H48" s="350"/>
      <c r="I48" s="351" t="str">
        <f>IF(ROUND('FC-10_DEUDAS'!V75,2)=ROUND('FC-10_DEUDAS'!V76+'FC-10_DEUDAS'!V79,2),"Ok","Mal, cumplimenta el tipo de aportación")</f>
        <v>Ok</v>
      </c>
      <c r="J48" s="352"/>
      <c r="M48" s="699"/>
      <c r="N48" s="699"/>
      <c r="O48" s="699"/>
    </row>
    <row r="49" spans="1:15" s="162" customFormat="1" ht="30" customHeight="1">
      <c r="A49" s="903"/>
      <c r="B49" s="347"/>
      <c r="C49" s="348"/>
      <c r="D49" s="349" t="s">
        <v>87</v>
      </c>
      <c r="E49" s="349"/>
      <c r="F49" s="350"/>
      <c r="G49" s="748"/>
      <c r="H49" s="1146" t="str">
        <f>IF(ROUND('FC-4_PASIVO'!H34+'FC-4_PASIVO'!H48-'FC-10_DEUDAS'!M111,2)=0,"Ok","Mal, revisa datos en FC-4 Pasivo y FC-10")</f>
        <v>Ok</v>
      </c>
      <c r="I49" s="351" t="str">
        <f>IF(ROUND('FC-4_PASIVO'!I34-'FC-10_DEUDAS'!T111,2)=0,"Ok","Mal, revisa datos en FC-4 Pasivo y FC-10")</f>
        <v>Ok</v>
      </c>
      <c r="J49" s="352"/>
      <c r="K49" s="369"/>
      <c r="L49" s="369"/>
      <c r="M49" s="369"/>
      <c r="N49" s="369"/>
      <c r="O49" s="369"/>
    </row>
    <row r="50" spans="1:15" s="162" customFormat="1" ht="30" customHeight="1">
      <c r="A50" s="903"/>
      <c r="B50" s="347"/>
      <c r="C50" s="348"/>
      <c r="D50" s="349" t="s">
        <v>88</v>
      </c>
      <c r="E50" s="349"/>
      <c r="F50" s="350"/>
      <c r="G50" s="892"/>
      <c r="H50" s="1147"/>
      <c r="I50" s="351" t="str">
        <f>IF(ROUND('FC-4_PASIVO'!I48-'FC-10_DEUDAS'!S111,2)=0,"Ok","Mal, revisa datos en FC-4 Pasivo y FC-10")</f>
        <v>Ok</v>
      </c>
      <c r="J50" s="352"/>
      <c r="K50" s="369"/>
      <c r="L50" s="369"/>
      <c r="M50" s="369"/>
      <c r="N50" s="369"/>
      <c r="O50" s="369"/>
    </row>
    <row r="51" spans="1:15" s="162" customFormat="1" ht="30" customHeight="1">
      <c r="A51" s="903"/>
      <c r="B51" s="347"/>
      <c r="C51" s="348"/>
      <c r="D51" s="349" t="s">
        <v>89</v>
      </c>
      <c r="E51" s="349"/>
      <c r="F51" s="350"/>
      <c r="G51" s="748"/>
      <c r="H51" s="1146" t="str">
        <f>IF(ROUND('FC-4_PASIVO'!H35+'FC-4_PASIVO'!H49-'FC-10_DEUDAS'!M144,2)=0,"Ok","Mal, revisa datos en FC-4 Pasivo y FC-10")</f>
        <v>Ok</v>
      </c>
      <c r="I51" s="351" t="str">
        <f>IF(ROUND('FC-4_PASIVO'!I35-'FC-10_DEUDAS'!T144,2)=0,"Ok","Mal, revisa datos en FC-4 Pasivo y FC-10")</f>
        <v>Ok</v>
      </c>
      <c r="J51" s="352"/>
      <c r="K51" s="369"/>
      <c r="L51" s="369"/>
      <c r="M51" s="369"/>
      <c r="N51" s="369"/>
      <c r="O51" s="369"/>
    </row>
    <row r="52" spans="1:15" s="162" customFormat="1" ht="30" customHeight="1">
      <c r="A52" s="903"/>
      <c r="B52" s="347"/>
      <c r="C52" s="348"/>
      <c r="D52" s="349" t="s">
        <v>90</v>
      </c>
      <c r="E52" s="349"/>
      <c r="F52" s="350"/>
      <c r="G52" s="892"/>
      <c r="H52" s="1147"/>
      <c r="I52" s="351" t="str">
        <f>IF(ROUND('FC-4_PASIVO'!I49-'FC-10_DEUDAS'!S144,2)=0,"Ok","Mal, revisa datos en FC-4 Pasivo y FC-10")</f>
        <v>Ok</v>
      </c>
      <c r="J52" s="352"/>
      <c r="K52" s="369"/>
      <c r="L52" s="369"/>
      <c r="M52" s="369"/>
      <c r="N52" s="369"/>
      <c r="O52" s="369"/>
    </row>
    <row r="53" spans="1:15" s="162" customFormat="1" ht="30" customHeight="1">
      <c r="A53" s="903"/>
      <c r="B53" s="347"/>
      <c r="C53" s="348"/>
      <c r="D53" s="349" t="s">
        <v>91</v>
      </c>
      <c r="E53" s="349"/>
      <c r="F53" s="350"/>
      <c r="G53" s="350"/>
      <c r="H53" s="350"/>
      <c r="I53" s="351" t="str">
        <f>IF(ROUND('FC-10_DEUDAS'!R43-'FC-10_DEUDAS'!S43-'FC-10_DEUDAS'!T43,2)=0,"Ok","Mal, revisa datos en fila inicial 43")</f>
        <v>Ok</v>
      </c>
      <c r="J53" s="352"/>
      <c r="K53" s="369"/>
      <c r="L53" s="369"/>
      <c r="M53" s="369"/>
      <c r="N53" s="369"/>
      <c r="O53" s="369"/>
    </row>
    <row r="54" spans="1:15" s="162" customFormat="1" ht="30" customHeight="1">
      <c r="A54" s="903"/>
      <c r="B54" s="347"/>
      <c r="C54" s="348"/>
      <c r="D54" s="349" t="s">
        <v>92</v>
      </c>
      <c r="E54" s="666"/>
      <c r="F54" s="748"/>
      <c r="G54" s="748"/>
      <c r="H54" s="350"/>
      <c r="I54" s="351" t="str">
        <f>IF(ROUND('FC-10_DEUDAS'!R112-'FC-10_DEUDAS'!S112-'FC-10_DEUDAS'!T112,2)=0,"Ok","Mal, revisa datos en fila inicial 75")</f>
        <v>Ok</v>
      </c>
      <c r="J54" s="352"/>
      <c r="K54" s="369"/>
      <c r="L54" s="369"/>
      <c r="M54" s="369"/>
      <c r="N54" s="369"/>
      <c r="O54" s="369"/>
    </row>
    <row r="55" spans="1:15" s="162" customFormat="1" ht="30" customHeight="1">
      <c r="A55" s="903"/>
      <c r="B55" s="347"/>
      <c r="C55" s="348"/>
      <c r="D55" s="349" t="s">
        <v>93</v>
      </c>
      <c r="E55" s="666"/>
      <c r="F55" s="748"/>
      <c r="G55" s="748"/>
      <c r="H55" s="350"/>
      <c r="I55" s="351" t="str">
        <f>IF(ROUND('FC-10_DEUDAS'!R144-'FC-10_DEUDAS'!S144-'FC-10_DEUDAS'!T144,2)=0,"Ok","Mal, revisa datos en fila inicial 43")</f>
        <v>Ok</v>
      </c>
      <c r="J55" s="352"/>
      <c r="K55" s="369"/>
      <c r="L55" s="369"/>
      <c r="M55" s="369"/>
      <c r="N55" s="369"/>
      <c r="O55" s="369"/>
    </row>
    <row r="56" spans="1:15" s="162" customFormat="1" ht="30" customHeight="1">
      <c r="A56" s="903"/>
      <c r="B56" s="347"/>
      <c r="C56" s="348"/>
      <c r="D56" s="666" t="s">
        <v>94</v>
      </c>
      <c r="E56" s="666"/>
      <c r="F56" s="748"/>
      <c r="G56" s="748"/>
      <c r="H56" s="351" t="str">
        <f>IF(ROUND('FC-4_PASIVO'!H28-'_FC-16_1_ INF_ADIC_ESTAB_PRESUP'!F19,2)=0,"Ok","Mal, revisa dato en FC-4_PASIVO y FC-16_1")</f>
        <v>Ok</v>
      </c>
      <c r="I56" s="351" t="str">
        <f>IF(ROUND('FC-4_PASIVO'!I28-'_FC-16_1_ INF_ADIC_ESTAB_PRESUP'!K19,2)=0,"Ok","Mal, revisa dato en FC-4_PASIVO y FC-16_1")</f>
        <v>Ok</v>
      </c>
      <c r="J56" s="352"/>
      <c r="K56" s="369"/>
      <c r="L56" s="369"/>
      <c r="M56" s="369"/>
      <c r="N56" s="369"/>
      <c r="O56" s="369"/>
    </row>
    <row r="57" spans="1:15" s="162" customFormat="1" ht="30" customHeight="1">
      <c r="A57" s="903"/>
      <c r="B57" s="347"/>
      <c r="C57" s="348"/>
      <c r="D57" s="666" t="s">
        <v>95</v>
      </c>
      <c r="E57" s="666"/>
      <c r="F57" s="748"/>
      <c r="G57" s="748"/>
      <c r="H57" s="351" t="str">
        <f>IF(ROUND('FC-4_PASIVO'!H42-'_FC-16_1_ INF_ADIC_ESTAB_PRESUP'!F28,2)=0,"Ok","Mal, revisa dato en FC-4_PASIVO y FC-16_1")</f>
        <v>Ok</v>
      </c>
      <c r="I57" s="351" t="str">
        <f>IF(ROUND('FC-4_PASIVO'!I42-'_FC-16_1_ INF_ADIC_ESTAB_PRESUP'!K28,2)=0,"Ok","Mal, revisa dato en FC-4_PASIVO y FC-16_1")</f>
        <v>Ok</v>
      </c>
      <c r="J57" s="352"/>
      <c r="K57" s="369"/>
      <c r="L57" s="369"/>
      <c r="M57" s="369"/>
      <c r="N57" s="369"/>
      <c r="O57" s="369"/>
    </row>
    <row r="58" spans="1:15" s="347" customFormat="1" ht="30" customHeight="1">
      <c r="A58" s="903"/>
      <c r="C58" s="348"/>
      <c r="D58" s="666" t="s">
        <v>96</v>
      </c>
      <c r="E58" s="666"/>
      <c r="F58" s="748"/>
      <c r="G58" s="748"/>
      <c r="H58" s="748"/>
      <c r="I58" s="351" t="str">
        <f>IF(ROUND('FC-9_TRANS_SUBV'!O43-'_FC-17_FINANCIACIÓN'!F28,2)=0,"Ok","Mal, revisa dato en FC-9 y FC-17")</f>
        <v>Ok</v>
      </c>
      <c r="J58" s="352"/>
      <c r="L58" s="699"/>
      <c r="M58" s="699"/>
      <c r="N58" s="699"/>
      <c r="O58" s="699"/>
    </row>
    <row r="59" spans="1:15" s="347" customFormat="1" ht="30" customHeight="1">
      <c r="A59" s="903"/>
      <c r="C59" s="348"/>
      <c r="D59" s="666" t="s">
        <v>97</v>
      </c>
      <c r="E59" s="666"/>
      <c r="F59" s="748"/>
      <c r="G59" s="748"/>
      <c r="H59" s="748"/>
      <c r="I59" s="351" t="str">
        <f>IF(ROUND('FC-9_TRANS_SUBV'!K85-'_FC-17_FINANCIACIÓN'!F24,2)=0,"Ok","Mal, revisa dato en FC-9 y FC-17")</f>
        <v>Ok</v>
      </c>
      <c r="J59" s="352"/>
      <c r="L59" s="699"/>
      <c r="M59" s="699"/>
      <c r="N59" s="699"/>
      <c r="O59" s="699"/>
    </row>
    <row r="60" spans="1:15" s="162" customFormat="1" ht="30" customHeight="1">
      <c r="A60" s="903"/>
      <c r="B60" s="347"/>
      <c r="C60" s="348"/>
      <c r="D60" s="980" t="s">
        <v>98</v>
      </c>
      <c r="E60" s="980"/>
      <c r="F60" s="981"/>
      <c r="G60" s="981"/>
      <c r="H60" s="981"/>
      <c r="I60" s="982" t="str">
        <f>IF(ROUND(-'FC-3_CPyG'!I32-'FC-13_PERSONAL'!G31,2)=0,"Ok","Mal, revísa dato en FC-3 CPyG y FC-13")</f>
        <v>Ok</v>
      </c>
      <c r="J60" s="352"/>
      <c r="K60" s="369"/>
      <c r="L60" s="369"/>
      <c r="M60" s="369"/>
      <c r="N60" s="369"/>
      <c r="O60" s="369"/>
    </row>
    <row r="61" spans="1:15" ht="30" customHeight="1">
      <c r="A61" s="975"/>
      <c r="B61" s="369"/>
      <c r="C61" s="966"/>
      <c r="D61" s="369"/>
      <c r="E61" s="369"/>
      <c r="F61" s="369"/>
      <c r="G61" s="369"/>
      <c r="H61" s="369"/>
      <c r="I61" s="369"/>
      <c r="J61" s="967"/>
      <c r="K61" s="369"/>
      <c r="L61" s="369"/>
      <c r="M61" s="369"/>
      <c r="N61" s="369"/>
      <c r="O61" s="369"/>
    </row>
    <row r="62" spans="1:15" ht="30" customHeight="1">
      <c r="A62" s="975"/>
      <c r="B62" s="369"/>
      <c r="C62" s="966"/>
      <c r="D62" s="368" t="s">
        <v>99</v>
      </c>
      <c r="E62" s="368"/>
      <c r="F62" s="983"/>
      <c r="G62" s="983"/>
      <c r="H62" s="983"/>
      <c r="I62" s="984" t="str">
        <f>IF(ROUND(+'FC-3_CPyG'!I60-'_FC-90_DETALLE'!E160,2)=0,"Ok","Mal, revisa resultado en F-3 y FC-92")</f>
        <v>Ok</v>
      </c>
      <c r="J62" s="967"/>
      <c r="K62" s="369"/>
      <c r="L62" s="369"/>
      <c r="M62" s="369"/>
      <c r="N62" s="369"/>
      <c r="O62" s="369"/>
    </row>
    <row r="63" spans="1:15" ht="23.1" customHeight="1" thickBot="1">
      <c r="A63" s="975"/>
      <c r="B63" s="369"/>
      <c r="C63" s="972"/>
      <c r="D63" s="973"/>
      <c r="E63" s="973"/>
      <c r="F63" s="973"/>
      <c r="G63" s="973"/>
      <c r="H63" s="985"/>
      <c r="I63" s="973"/>
      <c r="J63" s="974"/>
      <c r="K63" s="369"/>
      <c r="L63" s="369"/>
      <c r="M63" s="369"/>
      <c r="N63" s="369"/>
      <c r="O63" s="369"/>
    </row>
    <row r="64" spans="1:15" ht="23.1" customHeight="1">
      <c r="A64" s="369"/>
      <c r="B64" s="369"/>
      <c r="C64" s="369"/>
      <c r="D64" s="369"/>
      <c r="E64" s="369"/>
      <c r="F64" s="369"/>
      <c r="G64" s="369"/>
      <c r="H64" s="986"/>
      <c r="I64" s="369"/>
      <c r="J64" s="369"/>
      <c r="K64" s="369"/>
      <c r="L64" s="369"/>
      <c r="M64" s="369"/>
      <c r="N64" s="369"/>
      <c r="O64" s="369"/>
    </row>
    <row r="65" spans="4:15" s="24" customFormat="1" ht="15">
      <c r="D65" s="20" t="s">
        <v>39</v>
      </c>
      <c r="H65" s="25"/>
      <c r="I65" s="23"/>
      <c r="K65" s="369"/>
      <c r="L65" s="369"/>
      <c r="M65" s="369"/>
      <c r="N65" s="369"/>
      <c r="O65" s="369"/>
    </row>
    <row r="66" spans="4:15" s="24" customFormat="1" ht="15">
      <c r="D66" s="20" t="s">
        <v>41</v>
      </c>
      <c r="H66" s="25"/>
      <c r="K66" s="369"/>
      <c r="L66" s="369"/>
      <c r="M66" s="369"/>
      <c r="N66" s="369"/>
      <c r="O66" s="369"/>
    </row>
    <row r="67" spans="4:15" s="24" customFormat="1" ht="15">
      <c r="D67" s="20" t="s">
        <v>42</v>
      </c>
      <c r="H67" s="25"/>
      <c r="K67" s="369"/>
      <c r="L67" s="369"/>
      <c r="M67" s="369"/>
      <c r="N67" s="369"/>
      <c r="O67" s="369"/>
    </row>
    <row r="68" spans="4:15" s="24" customFormat="1" ht="15">
      <c r="D68" s="20" t="s">
        <v>43</v>
      </c>
      <c r="H68" s="25"/>
      <c r="K68" s="369"/>
      <c r="L68" s="369"/>
      <c r="M68" s="369"/>
      <c r="N68" s="369"/>
      <c r="O68" s="369"/>
    </row>
    <row r="69" spans="4:15" s="24" customFormat="1" ht="15">
      <c r="D69" s="20" t="s">
        <v>44</v>
      </c>
      <c r="H69" s="25"/>
      <c r="K69" s="369"/>
      <c r="L69" s="369"/>
      <c r="M69" s="369"/>
      <c r="N69" s="369"/>
      <c r="O69" s="369"/>
    </row>
    <row r="70" spans="4:15" ht="23.1" customHeight="1">
      <c r="D70" s="369"/>
      <c r="E70" s="369"/>
      <c r="F70" s="369"/>
      <c r="G70" s="369"/>
      <c r="H70" s="986"/>
      <c r="I70" s="369"/>
      <c r="J70" s="369"/>
      <c r="K70" s="369"/>
      <c r="L70" s="369"/>
      <c r="M70" s="369"/>
      <c r="N70" s="369"/>
      <c r="O70" s="369"/>
    </row>
    <row r="71" spans="4:15" ht="23.1" customHeight="1">
      <c r="D71" s="369"/>
      <c r="E71" s="369"/>
      <c r="F71" s="369"/>
      <c r="G71" s="369"/>
      <c r="H71" s="986"/>
      <c r="I71" s="369"/>
      <c r="J71" s="369"/>
      <c r="K71" s="369"/>
      <c r="L71" s="369"/>
      <c r="M71" s="369"/>
      <c r="N71" s="369"/>
      <c r="O71" s="369"/>
    </row>
    <row r="72" spans="4:15" ht="23.1" customHeight="1">
      <c r="D72" s="369"/>
      <c r="E72" s="369"/>
      <c r="F72" s="369"/>
      <c r="G72" s="369"/>
      <c r="H72" s="986"/>
      <c r="I72" s="369"/>
      <c r="J72" s="369"/>
      <c r="K72" s="369"/>
      <c r="L72" s="369"/>
      <c r="M72" s="369"/>
      <c r="N72" s="369"/>
      <c r="O72" s="369"/>
    </row>
    <row r="73" spans="4:15" ht="23.1" customHeight="1">
      <c r="D73" s="369"/>
      <c r="E73" s="369"/>
      <c r="F73" s="369"/>
      <c r="G73" s="369"/>
      <c r="H73" s="986"/>
      <c r="I73" s="369"/>
      <c r="J73" s="369"/>
      <c r="K73" s="369"/>
      <c r="L73" s="369"/>
      <c r="M73" s="369"/>
      <c r="N73" s="369"/>
      <c r="O73" s="369"/>
    </row>
    <row r="74" spans="4:15" ht="23.1" customHeight="1">
      <c r="D74" s="369"/>
      <c r="E74" s="369"/>
      <c r="F74" s="369"/>
      <c r="G74" s="369"/>
      <c r="H74" s="986"/>
      <c r="I74" s="369"/>
      <c r="J74" s="369"/>
      <c r="K74" s="369"/>
      <c r="L74" s="369"/>
      <c r="M74" s="369"/>
      <c r="N74" s="369"/>
      <c r="O74" s="369"/>
    </row>
    <row r="75" spans="4:15" ht="23.1" customHeight="1">
      <c r="D75" s="369"/>
      <c r="E75" s="369"/>
      <c r="F75" s="369"/>
      <c r="G75" s="369"/>
      <c r="H75" s="986"/>
      <c r="I75" s="369"/>
      <c r="J75" s="369"/>
      <c r="K75" s="369"/>
      <c r="L75" s="369"/>
      <c r="M75" s="369"/>
      <c r="N75" s="369"/>
      <c r="O75" s="369"/>
    </row>
    <row r="76" spans="4:15" ht="23.1" customHeight="1">
      <c r="D76" s="369"/>
      <c r="E76" s="369"/>
      <c r="F76" s="369"/>
      <c r="G76" s="369"/>
      <c r="H76" s="986"/>
      <c r="I76" s="369"/>
      <c r="J76" s="369"/>
      <c r="K76" s="369"/>
      <c r="L76" s="369"/>
      <c r="M76" s="369"/>
      <c r="N76" s="369"/>
      <c r="O76" s="369"/>
    </row>
  </sheetData>
  <sheetProtection algorithmName="SHA-512" hashValue="QXBqBoah8/cGGeyDPgR4i6f9WGC0n93pp9m3tuh+M1mKlLN0uFn3k1S8FDoNrzCeGxtr1+fZt/lQoOBlEFopGg==" saltValue="pohMfZvxwnK0yJnbdmgC0Q==" spinCount="100000" sheet="1" objects="1" scenarios="1"/>
  <mergeCells count="6">
    <mergeCell ref="I6:I7"/>
    <mergeCell ref="E9:I9"/>
    <mergeCell ref="H44:H45"/>
    <mergeCell ref="H49:H50"/>
    <mergeCell ref="H51:H52"/>
    <mergeCell ref="H46:H47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2:AB69"/>
  <sheetViews>
    <sheetView tabSelected="1" zoomScale="70" zoomScaleNormal="70" zoomScalePageLayoutView="125" workbookViewId="0">
      <selection activeCell="E18" sqref="E18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59.44140625" style="32" customWidth="1"/>
    <col min="6" max="11" width="13.44140625" style="33" customWidth="1"/>
    <col min="12" max="12" width="40.6640625" style="33" customWidth="1"/>
    <col min="13" max="13" width="3.33203125" style="32" customWidth="1"/>
    <col min="14" max="16384" width="10.6640625" style="32"/>
  </cols>
  <sheetData>
    <row r="2" spans="1:28" ht="23.1" customHeight="1">
      <c r="A2" s="369"/>
      <c r="E2" s="347" t="str">
        <f>_GENERAL!D2</f>
        <v>Área de Presidencia, Hacienda y Modernización</v>
      </c>
    </row>
    <row r="3" spans="1:28" ht="23.1" customHeight="1">
      <c r="A3" s="369"/>
      <c r="E3" s="347" t="str">
        <f>_GENERAL!D3</f>
        <v>Dirección Insular de Hacienda</v>
      </c>
    </row>
    <row r="4" spans="1:28" ht="23.1" customHeight="1" thickBot="1">
      <c r="A4" s="369"/>
      <c r="B4" s="32" t="s">
        <v>100</v>
      </c>
    </row>
    <row r="5" spans="1:28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7"/>
      <c r="O5" s="757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9"/>
    </row>
    <row r="6" spans="1:28" ht="30" customHeight="1">
      <c r="A6" s="975"/>
      <c r="C6" s="38"/>
      <c r="D6" s="29" t="s">
        <v>2</v>
      </c>
      <c r="L6" s="1140">
        <f>ejercicio</f>
        <v>2022</v>
      </c>
      <c r="M6" s="39"/>
      <c r="O6" s="174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7"/>
    </row>
    <row r="7" spans="1:28" ht="30" customHeight="1">
      <c r="A7" s="975"/>
      <c r="C7" s="38"/>
      <c r="D7" s="29" t="s">
        <v>3</v>
      </c>
      <c r="L7" s="1140"/>
      <c r="M7" s="39"/>
      <c r="O7" s="178"/>
      <c r="P7" s="175" t="s">
        <v>101</v>
      </c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80"/>
    </row>
    <row r="8" spans="1:28" ht="30" customHeight="1">
      <c r="A8" s="975"/>
      <c r="C8" s="38"/>
      <c r="D8" s="40"/>
      <c r="L8" s="41"/>
      <c r="M8" s="39"/>
      <c r="O8" s="798"/>
      <c r="P8" s="799"/>
      <c r="Q8" s="799"/>
      <c r="R8" s="799"/>
      <c r="S8" s="799"/>
      <c r="T8" s="799"/>
      <c r="U8" s="799"/>
      <c r="V8" s="799"/>
      <c r="W8" s="799"/>
      <c r="X8" s="799"/>
      <c r="Y8" s="799"/>
      <c r="Z8" s="799"/>
      <c r="AA8" s="799"/>
      <c r="AB8" s="800"/>
    </row>
    <row r="9" spans="1:28" s="27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936"/>
      <c r="N9" s="970"/>
      <c r="O9" s="814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6"/>
    </row>
    <row r="10" spans="1:28" ht="6.95" customHeight="1">
      <c r="A10" s="975"/>
      <c r="C10" s="38"/>
      <c r="M10" s="39"/>
      <c r="O10" s="814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6"/>
    </row>
    <row r="11" spans="1:28" s="46" customFormat="1" ht="30" customHeight="1">
      <c r="A11" s="901"/>
      <c r="C11" s="42"/>
      <c r="D11" s="43" t="s">
        <v>34</v>
      </c>
      <c r="E11" s="43"/>
      <c r="F11" s="44"/>
      <c r="G11" s="44"/>
      <c r="H11" s="44"/>
      <c r="I11" s="44"/>
      <c r="J11" s="44"/>
      <c r="K11" s="44"/>
      <c r="L11" s="44"/>
      <c r="M11" s="45"/>
      <c r="O11" s="814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6"/>
    </row>
    <row r="12" spans="1:28" s="46" customFormat="1" ht="30" customHeight="1">
      <c r="A12" s="901"/>
      <c r="C12" s="42"/>
      <c r="D12" s="702" t="str">
        <f>IF(_GENERAL!D14&lt;&gt;"Administración Pública","No aplica a entidades clasificadas como Entidad no financiera","")</f>
        <v/>
      </c>
      <c r="F12" s="31"/>
      <c r="G12" s="31"/>
      <c r="H12" s="31"/>
      <c r="I12" s="31"/>
      <c r="J12" s="31"/>
      <c r="K12" s="31"/>
      <c r="L12" s="31"/>
      <c r="M12" s="45"/>
      <c r="O12" s="814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6"/>
    </row>
    <row r="13" spans="1:28" s="49" customFormat="1" ht="23.1" customHeight="1">
      <c r="A13" s="901"/>
      <c r="C13" s="47"/>
      <c r="D13" s="1180"/>
      <c r="E13" s="1181"/>
      <c r="F13" s="86" t="s">
        <v>896</v>
      </c>
      <c r="G13" s="1184" t="s">
        <v>460</v>
      </c>
      <c r="H13" s="1185"/>
      <c r="I13" s="1185"/>
      <c r="J13" s="1186"/>
      <c r="K13" s="86" t="s">
        <v>897</v>
      </c>
      <c r="L13" s="1182" t="s">
        <v>898</v>
      </c>
      <c r="M13" s="48"/>
      <c r="O13" s="814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6"/>
    </row>
    <row r="14" spans="1:28" ht="48.95" customHeight="1">
      <c r="A14" s="902"/>
      <c r="C14" s="38"/>
      <c r="D14" s="95" t="s">
        <v>899</v>
      </c>
      <c r="E14" s="93"/>
      <c r="F14" s="94">
        <f>ejercicio</f>
        <v>2022</v>
      </c>
      <c r="G14" s="90" t="s">
        <v>900</v>
      </c>
      <c r="H14" s="91" t="s">
        <v>901</v>
      </c>
      <c r="I14" s="91" t="s">
        <v>902</v>
      </c>
      <c r="J14" s="92" t="s">
        <v>903</v>
      </c>
      <c r="K14" s="94">
        <f>ejercicio</f>
        <v>2022</v>
      </c>
      <c r="L14" s="1183"/>
      <c r="M14" s="39"/>
      <c r="O14" s="814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5"/>
      <c r="AA14" s="815"/>
      <c r="AB14" s="816"/>
    </row>
    <row r="15" spans="1:28" s="17" customFormat="1" ht="23.1" customHeight="1">
      <c r="A15" s="903"/>
      <c r="C15" s="47"/>
      <c r="D15" s="664" t="s">
        <v>904</v>
      </c>
      <c r="E15" s="1021"/>
      <c r="F15" s="197">
        <v>34726.519999999997</v>
      </c>
      <c r="G15" s="1035"/>
      <c r="H15" s="1036"/>
      <c r="I15" s="1036"/>
      <c r="J15" s="1037"/>
      <c r="K15" s="69">
        <f>SUM(F15:J15)</f>
        <v>34726.519999999997</v>
      </c>
      <c r="L15" s="1125"/>
      <c r="M15" s="48"/>
      <c r="O15" s="814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  <c r="AA15" s="815"/>
      <c r="AB15" s="816"/>
    </row>
    <row r="16" spans="1:28" ht="23.1" customHeight="1">
      <c r="A16" s="903"/>
      <c r="C16" s="47"/>
      <c r="D16" s="665" t="s">
        <v>905</v>
      </c>
      <c r="E16" s="710"/>
      <c r="F16" s="198"/>
      <c r="G16" s="1038"/>
      <c r="H16" s="713"/>
      <c r="I16" s="713"/>
      <c r="J16" s="1039"/>
      <c r="K16" s="71">
        <f t="shared" ref="K16:K18" si="0">SUM(F16:J16)</f>
        <v>0</v>
      </c>
      <c r="L16" s="999"/>
      <c r="M16" s="39"/>
      <c r="O16" s="814"/>
      <c r="P16" s="815"/>
      <c r="Q16" s="815"/>
      <c r="R16" s="815"/>
      <c r="S16" s="815"/>
      <c r="T16" s="815"/>
      <c r="U16" s="815"/>
      <c r="V16" s="815"/>
      <c r="W16" s="815"/>
      <c r="X16" s="815"/>
      <c r="Y16" s="815"/>
      <c r="Z16" s="815"/>
      <c r="AA16" s="815"/>
      <c r="AB16" s="816"/>
    </row>
    <row r="17" spans="1:28" ht="23.1" customHeight="1">
      <c r="A17" s="903"/>
      <c r="C17" s="47"/>
      <c r="D17" s="665" t="s">
        <v>906</v>
      </c>
      <c r="E17" s="710"/>
      <c r="F17" s="198"/>
      <c r="G17" s="1038"/>
      <c r="H17" s="713"/>
      <c r="I17" s="713"/>
      <c r="J17" s="1039"/>
      <c r="K17" s="71">
        <f t="shared" si="0"/>
        <v>0</v>
      </c>
      <c r="L17" s="999"/>
      <c r="M17" s="39"/>
      <c r="O17" s="814"/>
      <c r="P17" s="815"/>
      <c r="Q17" s="815"/>
      <c r="R17" s="815"/>
      <c r="S17" s="815"/>
      <c r="T17" s="815"/>
      <c r="U17" s="815"/>
      <c r="V17" s="815"/>
      <c r="W17" s="815"/>
      <c r="X17" s="815"/>
      <c r="Y17" s="815"/>
      <c r="Z17" s="815"/>
      <c r="AA17" s="815"/>
      <c r="AB17" s="816"/>
    </row>
    <row r="18" spans="1:28" ht="23.1" customHeight="1">
      <c r="A18" s="903"/>
      <c r="C18" s="47"/>
      <c r="D18" s="641" t="s">
        <v>907</v>
      </c>
      <c r="E18" s="720"/>
      <c r="F18" s="199"/>
      <c r="G18" s="1040"/>
      <c r="H18" s="723"/>
      <c r="I18" s="723"/>
      <c r="J18" s="1041"/>
      <c r="K18" s="72">
        <f t="shared" si="0"/>
        <v>0</v>
      </c>
      <c r="L18" s="1126"/>
      <c r="M18" s="39"/>
      <c r="O18" s="814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6"/>
    </row>
    <row r="19" spans="1:28" ht="23.1" customHeight="1" thickBot="1">
      <c r="A19" s="975"/>
      <c r="C19" s="47"/>
      <c r="D19" s="62" t="s">
        <v>478</v>
      </c>
      <c r="E19" s="63"/>
      <c r="F19" s="70">
        <f>SUM(F15:F18)</f>
        <v>34726.519999999997</v>
      </c>
      <c r="G19" s="70">
        <f t="shared" ref="G19:K19" si="1">SUM(G15:G18)</f>
        <v>0</v>
      </c>
      <c r="H19" s="70">
        <f t="shared" si="1"/>
        <v>0</v>
      </c>
      <c r="I19" s="70">
        <f t="shared" si="1"/>
        <v>0</v>
      </c>
      <c r="J19" s="70">
        <f t="shared" si="1"/>
        <v>0</v>
      </c>
      <c r="K19" s="70">
        <f t="shared" si="1"/>
        <v>34726.519999999997</v>
      </c>
      <c r="L19" s="64"/>
      <c r="M19" s="39"/>
      <c r="O19" s="814"/>
      <c r="P19" s="815"/>
      <c r="Q19" s="815"/>
      <c r="R19" s="815"/>
      <c r="S19" s="815"/>
      <c r="T19" s="815"/>
      <c r="U19" s="815"/>
      <c r="V19" s="815"/>
      <c r="W19" s="815"/>
      <c r="X19" s="815"/>
      <c r="Y19" s="815"/>
      <c r="Z19" s="815"/>
      <c r="AA19" s="815"/>
      <c r="AB19" s="816"/>
    </row>
    <row r="20" spans="1:28" ht="8.1" customHeight="1">
      <c r="A20" s="975"/>
      <c r="C20" s="47"/>
      <c r="D20" s="58"/>
      <c r="E20" s="58"/>
      <c r="F20" s="59"/>
      <c r="G20" s="59"/>
      <c r="H20" s="59"/>
      <c r="I20" s="59"/>
      <c r="J20" s="59"/>
      <c r="K20" s="59"/>
      <c r="L20" s="59"/>
      <c r="M20" s="39"/>
      <c r="O20" s="814"/>
      <c r="P20" s="815"/>
      <c r="Q20" s="815"/>
      <c r="R20" s="815"/>
      <c r="S20" s="815"/>
      <c r="T20" s="815"/>
      <c r="U20" s="815"/>
      <c r="V20" s="815"/>
      <c r="W20" s="815"/>
      <c r="X20" s="815"/>
      <c r="Y20" s="815"/>
      <c r="Z20" s="815"/>
      <c r="AA20" s="815"/>
      <c r="AB20" s="816"/>
    </row>
    <row r="21" spans="1:28" ht="23.1" customHeight="1">
      <c r="A21" s="903"/>
      <c r="C21" s="47"/>
      <c r="D21" s="46"/>
      <c r="E21" s="46"/>
      <c r="F21" s="31"/>
      <c r="G21" s="31"/>
      <c r="H21" s="31"/>
      <c r="I21" s="31"/>
      <c r="J21" s="31"/>
      <c r="K21" s="31"/>
      <c r="L21" s="31"/>
      <c r="M21" s="39"/>
      <c r="O21" s="814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5"/>
      <c r="AA21" s="815"/>
      <c r="AB21" s="816"/>
    </row>
    <row r="22" spans="1:28" ht="23.1" customHeight="1">
      <c r="A22" s="903"/>
      <c r="C22" s="47"/>
      <c r="D22" s="1180"/>
      <c r="E22" s="1181"/>
      <c r="F22" s="86" t="s">
        <v>896</v>
      </c>
      <c r="G22" s="1184" t="s">
        <v>460</v>
      </c>
      <c r="H22" s="1185"/>
      <c r="I22" s="1185"/>
      <c r="J22" s="1186"/>
      <c r="K22" s="86" t="s">
        <v>897</v>
      </c>
      <c r="L22" s="1182" t="s">
        <v>898</v>
      </c>
      <c r="M22" s="39"/>
      <c r="O22" s="814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  <c r="AA22" s="815"/>
      <c r="AB22" s="816"/>
    </row>
    <row r="23" spans="1:28" ht="48.95" customHeight="1">
      <c r="A23" s="903"/>
      <c r="C23" s="47"/>
      <c r="D23" s="95" t="s">
        <v>908</v>
      </c>
      <c r="E23" s="93"/>
      <c r="F23" s="94">
        <f>ejercicio</f>
        <v>2022</v>
      </c>
      <c r="G23" s="90" t="s">
        <v>900</v>
      </c>
      <c r="H23" s="91" t="s">
        <v>901</v>
      </c>
      <c r="I23" s="91" t="s">
        <v>902</v>
      </c>
      <c r="J23" s="92" t="s">
        <v>903</v>
      </c>
      <c r="K23" s="94">
        <f>ejercicio</f>
        <v>2022</v>
      </c>
      <c r="L23" s="1183"/>
      <c r="M23" s="39"/>
      <c r="O23" s="814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5"/>
      <c r="AA23" s="815"/>
      <c r="AB23" s="816"/>
    </row>
    <row r="24" spans="1:28" ht="23.1" customHeight="1">
      <c r="A24" s="903"/>
      <c r="C24" s="47"/>
      <c r="D24" s="664" t="s">
        <v>909</v>
      </c>
      <c r="E24" s="1021"/>
      <c r="F24" s="197"/>
      <c r="G24" s="1035"/>
      <c r="H24" s="1036"/>
      <c r="I24" s="1036"/>
      <c r="J24" s="1037"/>
      <c r="K24" s="69">
        <f>SUM(F24:J24)</f>
        <v>0</v>
      </c>
      <c r="L24" s="1125"/>
      <c r="M24" s="39"/>
      <c r="O24" s="814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6"/>
    </row>
    <row r="25" spans="1:28" ht="23.1" customHeight="1">
      <c r="A25" s="903"/>
      <c r="C25" s="47"/>
      <c r="D25" s="665" t="s">
        <v>910</v>
      </c>
      <c r="E25" s="710"/>
      <c r="F25" s="198"/>
      <c r="G25" s="1038"/>
      <c r="H25" s="713"/>
      <c r="I25" s="713"/>
      <c r="J25" s="1039"/>
      <c r="K25" s="71">
        <f t="shared" ref="K25:K27" si="2">SUM(F25:J25)</f>
        <v>0</v>
      </c>
      <c r="L25" s="999"/>
      <c r="M25" s="39"/>
      <c r="O25" s="814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6"/>
    </row>
    <row r="26" spans="1:28" ht="23.1" customHeight="1">
      <c r="A26" s="903"/>
      <c r="C26" s="47"/>
      <c r="D26" s="665" t="s">
        <v>911</v>
      </c>
      <c r="E26" s="710"/>
      <c r="F26" s="198"/>
      <c r="G26" s="1038"/>
      <c r="H26" s="713"/>
      <c r="I26" s="713"/>
      <c r="J26" s="1039"/>
      <c r="K26" s="71">
        <f t="shared" si="2"/>
        <v>0</v>
      </c>
      <c r="L26" s="999"/>
      <c r="M26" s="39"/>
      <c r="O26" s="814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  <c r="AA26" s="815"/>
      <c r="AB26" s="816"/>
    </row>
    <row r="27" spans="1:28" ht="21" customHeight="1">
      <c r="A27" s="903"/>
      <c r="C27" s="47"/>
      <c r="D27" s="641" t="s">
        <v>912</v>
      </c>
      <c r="E27" s="720"/>
      <c r="F27" s="199"/>
      <c r="G27" s="1040"/>
      <c r="H27" s="723"/>
      <c r="I27" s="723"/>
      <c r="J27" s="1041"/>
      <c r="K27" s="72">
        <f t="shared" si="2"/>
        <v>0</v>
      </c>
      <c r="L27" s="1126"/>
      <c r="M27" s="39"/>
      <c r="O27" s="814"/>
      <c r="P27" s="815"/>
      <c r="Q27" s="815"/>
      <c r="R27" s="815"/>
      <c r="S27" s="815"/>
      <c r="T27" s="815"/>
      <c r="U27" s="815"/>
      <c r="V27" s="815"/>
      <c r="W27" s="815"/>
      <c r="X27" s="815"/>
      <c r="Y27" s="815"/>
      <c r="Z27" s="815"/>
      <c r="AA27" s="815"/>
      <c r="AB27" s="816"/>
    </row>
    <row r="28" spans="1:28" ht="23.1" customHeight="1" thickBot="1">
      <c r="A28" s="903"/>
      <c r="C28" s="47"/>
      <c r="D28" s="62" t="s">
        <v>478</v>
      </c>
      <c r="E28" s="63"/>
      <c r="F28" s="70">
        <f>SUM(F24:F27)</f>
        <v>0</v>
      </c>
      <c r="G28" s="70">
        <f t="shared" ref="G28:K28" si="3">SUM(G24:G27)</f>
        <v>0</v>
      </c>
      <c r="H28" s="70">
        <f t="shared" si="3"/>
        <v>0</v>
      </c>
      <c r="I28" s="70">
        <f t="shared" si="3"/>
        <v>0</v>
      </c>
      <c r="J28" s="70">
        <f t="shared" si="3"/>
        <v>0</v>
      </c>
      <c r="K28" s="70">
        <f t="shared" si="3"/>
        <v>0</v>
      </c>
      <c r="L28" s="64"/>
      <c r="M28" s="39"/>
      <c r="O28" s="814"/>
      <c r="P28" s="815"/>
      <c r="Q28" s="815"/>
      <c r="R28" s="815"/>
      <c r="S28" s="815"/>
      <c r="T28" s="815"/>
      <c r="U28" s="815"/>
      <c r="V28" s="815"/>
      <c r="W28" s="815"/>
      <c r="X28" s="815"/>
      <c r="Y28" s="815"/>
      <c r="Z28" s="815"/>
      <c r="AA28" s="815"/>
      <c r="AB28" s="816"/>
    </row>
    <row r="29" spans="1:28" ht="9" customHeight="1">
      <c r="A29" s="975"/>
      <c r="C29" s="47"/>
      <c r="D29" s="58"/>
      <c r="E29" s="58"/>
      <c r="F29" s="59"/>
      <c r="G29" s="59"/>
      <c r="H29" s="59"/>
      <c r="I29" s="59"/>
      <c r="J29" s="59"/>
      <c r="K29" s="59"/>
      <c r="L29" s="59"/>
      <c r="M29" s="39"/>
      <c r="O29" s="814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  <c r="AA29" s="815"/>
      <c r="AB29" s="816"/>
    </row>
    <row r="30" spans="1:28" ht="23.1" customHeight="1">
      <c r="A30" s="903"/>
      <c r="C30" s="47"/>
      <c r="D30" s="46"/>
      <c r="E30" s="46"/>
      <c r="F30" s="31"/>
      <c r="G30" s="31"/>
      <c r="H30" s="31"/>
      <c r="I30" s="31"/>
      <c r="J30" s="31"/>
      <c r="K30" s="31"/>
      <c r="L30" s="31"/>
      <c r="M30" s="39"/>
      <c r="O30" s="814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6"/>
    </row>
    <row r="31" spans="1:28" ht="23.1" customHeight="1">
      <c r="A31" s="903"/>
      <c r="C31" s="47"/>
      <c r="D31" s="261" t="s">
        <v>448</v>
      </c>
      <c r="E31" s="66"/>
      <c r="F31" s="67"/>
      <c r="G31" s="67"/>
      <c r="H31" s="67"/>
      <c r="I31" s="67"/>
      <c r="J31" s="67"/>
      <c r="K31" s="67"/>
      <c r="L31" s="31"/>
      <c r="M31" s="39"/>
      <c r="O31" s="814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6"/>
    </row>
    <row r="32" spans="1:28" ht="18">
      <c r="A32" s="903"/>
      <c r="C32" s="47"/>
      <c r="D32" s="346" t="s">
        <v>913</v>
      </c>
      <c r="E32" s="66"/>
      <c r="F32" s="67"/>
      <c r="G32" s="67"/>
      <c r="H32" s="67"/>
      <c r="I32" s="67"/>
      <c r="J32" s="67"/>
      <c r="K32" s="67"/>
      <c r="L32" s="31"/>
      <c r="M32" s="39"/>
      <c r="O32" s="792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4"/>
    </row>
    <row r="33" spans="1:28" ht="18">
      <c r="A33" s="903"/>
      <c r="C33" s="47"/>
      <c r="D33" s="120" t="s">
        <v>914</v>
      </c>
      <c r="E33" s="66"/>
      <c r="F33" s="67"/>
      <c r="G33" s="67"/>
      <c r="H33" s="67"/>
      <c r="I33" s="67"/>
      <c r="J33" s="67"/>
      <c r="K33" s="67"/>
      <c r="L33" s="31"/>
      <c r="M33" s="39"/>
      <c r="O33" s="792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4"/>
    </row>
    <row r="34" spans="1:28" ht="23.1" customHeight="1" thickBot="1">
      <c r="A34" s="903"/>
      <c r="C34" s="50"/>
      <c r="D34" s="1148"/>
      <c r="E34" s="1148"/>
      <c r="F34" s="1148"/>
      <c r="G34" s="1148"/>
      <c r="H34" s="26"/>
      <c r="I34" s="26"/>
      <c r="J34" s="26"/>
      <c r="K34" s="26"/>
      <c r="L34" s="51"/>
      <c r="M34" s="52"/>
      <c r="O34" s="801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3"/>
    </row>
    <row r="35" spans="1:28" ht="23.1" customHeight="1">
      <c r="A35" s="903"/>
      <c r="N35" s="32" t="s">
        <v>140</v>
      </c>
    </row>
    <row r="36" spans="1:28" ht="15">
      <c r="A36" s="903"/>
      <c r="D36" s="53" t="s">
        <v>39</v>
      </c>
      <c r="L36" s="30" t="s">
        <v>915</v>
      </c>
    </row>
    <row r="37" spans="1:28" ht="15">
      <c r="A37" s="903"/>
      <c r="D37" s="53" t="s">
        <v>41</v>
      </c>
    </row>
    <row r="38" spans="1:28" ht="15">
      <c r="A38" s="903"/>
      <c r="D38" s="53" t="s">
        <v>42</v>
      </c>
    </row>
    <row r="39" spans="1:28" ht="15">
      <c r="A39" s="903"/>
      <c r="D39" s="53" t="s">
        <v>43</v>
      </c>
    </row>
    <row r="40" spans="1:28" ht="15">
      <c r="A40" s="903"/>
      <c r="D40" s="53" t="s">
        <v>44</v>
      </c>
    </row>
    <row r="41" spans="1:28" ht="23.1" customHeight="1">
      <c r="A41" s="32"/>
    </row>
    <row r="42" spans="1:28" ht="23.1" customHeight="1">
      <c r="A42" s="32"/>
    </row>
    <row r="43" spans="1:28" ht="23.1" customHeight="1">
      <c r="A43" s="32"/>
    </row>
    <row r="44" spans="1:28" ht="23.1" customHeight="1">
      <c r="A44" s="32"/>
    </row>
    <row r="45" spans="1:28" ht="23.1" customHeight="1">
      <c r="A45" s="32"/>
    </row>
    <row r="46" spans="1:28" ht="23.1" customHeight="1">
      <c r="A46" s="32"/>
    </row>
    <row r="47" spans="1:28" ht="23.1" customHeight="1">
      <c r="A47" s="32"/>
    </row>
    <row r="48" spans="1:28" ht="23.1" customHeight="1">
      <c r="A48" s="32"/>
    </row>
    <row r="49" spans="1:1" ht="23.1" customHeight="1">
      <c r="A49" s="32"/>
    </row>
    <row r="50" spans="1:1" ht="23.1" customHeight="1">
      <c r="A50" s="32"/>
    </row>
    <row r="51" spans="1:1" ht="23.1" customHeight="1">
      <c r="A51" s="32"/>
    </row>
    <row r="52" spans="1:1" ht="23.1" customHeight="1">
      <c r="A52" s="32"/>
    </row>
    <row r="53" spans="1:1" ht="23.1" customHeight="1">
      <c r="A53" s="32"/>
    </row>
    <row r="54" spans="1:1" ht="23.1" customHeight="1">
      <c r="A54" s="32"/>
    </row>
    <row r="55" spans="1:1" ht="23.1" customHeight="1">
      <c r="A55" s="32"/>
    </row>
    <row r="56" spans="1:1" ht="23.1" customHeight="1">
      <c r="A56" s="32"/>
    </row>
    <row r="57" spans="1:1" ht="23.1" customHeight="1">
      <c r="A57" s="32"/>
    </row>
    <row r="58" spans="1:1" ht="23.1" customHeight="1">
      <c r="A58" s="32"/>
    </row>
    <row r="59" spans="1:1" ht="23.1" customHeight="1">
      <c r="A59" s="32"/>
    </row>
    <row r="60" spans="1:1" ht="23.1" customHeight="1">
      <c r="A60" s="32"/>
    </row>
    <row r="61" spans="1:1" ht="23.1" customHeight="1">
      <c r="A61" s="32"/>
    </row>
    <row r="62" spans="1:1" ht="23.1" customHeight="1">
      <c r="A62" s="32"/>
    </row>
    <row r="63" spans="1:1" ht="23.1" customHeight="1">
      <c r="A63" s="32"/>
    </row>
    <row r="64" spans="1:1" ht="23.1" customHeight="1">
      <c r="A64" s="32"/>
    </row>
    <row r="65" spans="1:1" ht="23.1" customHeight="1">
      <c r="A65" s="32"/>
    </row>
    <row r="66" spans="1:1" ht="23.1" customHeight="1">
      <c r="A66" s="32"/>
    </row>
    <row r="67" spans="1:1" ht="23.1" customHeight="1">
      <c r="A67" s="32"/>
    </row>
    <row r="68" spans="1:1" ht="23.1" customHeight="1">
      <c r="A68" s="32"/>
    </row>
    <row r="69" spans="1:1" ht="23.1" customHeight="1">
      <c r="A69" s="24"/>
    </row>
  </sheetData>
  <sheetProtection password="C494" sheet="1" objects="1" scenarios="1"/>
  <mergeCells count="9">
    <mergeCell ref="D34:G34"/>
    <mergeCell ref="L6:L7"/>
    <mergeCell ref="E9:L9"/>
    <mergeCell ref="D13:E13"/>
    <mergeCell ref="G13:J13"/>
    <mergeCell ref="L13:L14"/>
    <mergeCell ref="D22:E22"/>
    <mergeCell ref="G22:J22"/>
    <mergeCell ref="L22:L23"/>
  </mergeCells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2:W69"/>
  <sheetViews>
    <sheetView topLeftCell="A16" zoomScale="85" zoomScaleNormal="85" workbookViewId="0">
      <selection activeCell="K43" sqref="K43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109375" style="32" customWidth="1"/>
    <col min="5" max="5" width="68" style="32" customWidth="1"/>
    <col min="6" max="6" width="15.109375" style="33" customWidth="1"/>
    <col min="7" max="7" width="12.109375" style="33" customWidth="1"/>
    <col min="8" max="8" width="3.33203125" style="32" customWidth="1"/>
    <col min="9" max="16384" width="10.6640625" style="32"/>
  </cols>
  <sheetData>
    <row r="2" spans="1:23" ht="23.1" customHeight="1">
      <c r="A2" s="369"/>
      <c r="E2" s="347" t="str">
        <f>_GENERAL!D2</f>
        <v>Área de Presidencia, Hacienda y Modernización</v>
      </c>
    </row>
    <row r="3" spans="1:23" ht="23.1" customHeight="1">
      <c r="A3" s="369"/>
      <c r="E3" s="347" t="str">
        <f>_GENERAL!D3</f>
        <v>Dirección Insular de Hacienda</v>
      </c>
    </row>
    <row r="4" spans="1:23" ht="23.1" customHeight="1" thickBot="1">
      <c r="A4" s="369"/>
      <c r="B4" s="32" t="s">
        <v>100</v>
      </c>
    </row>
    <row r="5" spans="1:23" ht="9" customHeight="1">
      <c r="A5" s="975"/>
      <c r="C5" s="34"/>
      <c r="D5" s="35"/>
      <c r="E5" s="35"/>
      <c r="F5" s="36"/>
      <c r="G5" s="36"/>
      <c r="H5" s="37"/>
      <c r="J5" s="757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9"/>
    </row>
    <row r="6" spans="1:23" ht="30" customHeight="1">
      <c r="A6" s="975"/>
      <c r="C6" s="38"/>
      <c r="D6" s="29" t="s">
        <v>2</v>
      </c>
      <c r="G6" s="1140">
        <f>ejercicio</f>
        <v>2022</v>
      </c>
      <c r="H6" s="3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</row>
    <row r="7" spans="1:23" ht="30" customHeight="1">
      <c r="A7" s="975"/>
      <c r="C7" s="38"/>
      <c r="D7" s="29" t="s">
        <v>3</v>
      </c>
      <c r="G7" s="1140"/>
      <c r="H7" s="39"/>
      <c r="J7" s="181"/>
      <c r="K7" s="175" t="s">
        <v>101</v>
      </c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</row>
    <row r="8" spans="1:23" ht="30" customHeight="1">
      <c r="A8" s="975"/>
      <c r="C8" s="38"/>
      <c r="D8" s="40"/>
      <c r="G8" s="41"/>
      <c r="H8" s="39"/>
      <c r="J8" s="818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819"/>
    </row>
    <row r="9" spans="1:23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936"/>
      <c r="I9" s="970"/>
      <c r="J9" s="818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819"/>
    </row>
    <row r="10" spans="1:23" ht="6.95" customHeight="1">
      <c r="A10" s="975"/>
      <c r="C10" s="38"/>
      <c r="H10" s="39"/>
      <c r="J10" s="818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819"/>
    </row>
    <row r="11" spans="1:23" s="46" customFormat="1" ht="30" customHeight="1">
      <c r="A11" s="901"/>
      <c r="C11" s="42"/>
      <c r="D11" s="43" t="s">
        <v>916</v>
      </c>
      <c r="E11" s="43"/>
      <c r="F11" s="44"/>
      <c r="G11" s="44"/>
      <c r="H11" s="45"/>
      <c r="J11" s="818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819"/>
    </row>
    <row r="12" spans="1:23" s="46" customFormat="1" ht="30" customHeight="1">
      <c r="A12" s="901"/>
      <c r="C12" s="42"/>
      <c r="D12" s="1160"/>
      <c r="E12" s="1160"/>
      <c r="F12" s="31"/>
      <c r="G12" s="31"/>
      <c r="H12" s="45"/>
      <c r="J12" s="818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819"/>
    </row>
    <row r="13" spans="1:23" ht="9" customHeight="1">
      <c r="A13" s="901"/>
      <c r="C13" s="47"/>
      <c r="D13" s="604"/>
      <c r="E13" s="604"/>
      <c r="F13" s="31"/>
      <c r="G13" s="31"/>
      <c r="H13" s="39"/>
      <c r="J13" s="818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819"/>
    </row>
    <row r="14" spans="1:23" s="98" customFormat="1" ht="44.1" customHeight="1">
      <c r="A14" s="902"/>
      <c r="B14" s="632"/>
      <c r="C14" s="916"/>
      <c r="D14" s="1184" t="s">
        <v>680</v>
      </c>
      <c r="E14" s="1186"/>
      <c r="F14" s="733" t="s">
        <v>917</v>
      </c>
      <c r="G14" s="150" t="s">
        <v>918</v>
      </c>
      <c r="H14" s="917"/>
      <c r="I14" s="632"/>
      <c r="J14" s="818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819"/>
    </row>
    <row r="15" spans="1:23" ht="9" customHeight="1">
      <c r="A15" s="975"/>
      <c r="C15" s="47"/>
      <c r="D15" s="28"/>
      <c r="E15" s="604"/>
      <c r="F15" s="31"/>
      <c r="G15" s="131"/>
      <c r="H15" s="39"/>
      <c r="J15" s="818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819"/>
    </row>
    <row r="16" spans="1:23" s="29" customFormat="1" ht="23.1" customHeight="1">
      <c r="A16" s="903"/>
      <c r="C16" s="152"/>
      <c r="D16" s="1258" t="s">
        <v>919</v>
      </c>
      <c r="E16" s="1259"/>
      <c r="F16" s="154">
        <f>SUM(F17:F19)</f>
        <v>0</v>
      </c>
      <c r="G16" s="156">
        <f>F16/$F$38</f>
        <v>0</v>
      </c>
      <c r="H16" s="153"/>
      <c r="J16" s="818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819"/>
    </row>
    <row r="17" spans="1:23" s="80" customFormat="1" ht="23.1" customHeight="1">
      <c r="A17" s="903"/>
      <c r="B17" s="970"/>
      <c r="C17" s="935"/>
      <c r="D17" s="1127" t="s">
        <v>920</v>
      </c>
      <c r="E17" s="739" t="s">
        <v>921</v>
      </c>
      <c r="F17" s="1123">
        <f>+'FC-3_1_INF_ADIC_CPyG'!L16+'FC-3_1_INF_ADIC_CPyG'!L19</f>
        <v>0</v>
      </c>
      <c r="G17" s="1128">
        <f>F17/$F$38</f>
        <v>0</v>
      </c>
      <c r="H17" s="936"/>
      <c r="I17" s="970"/>
      <c r="J17" s="818"/>
      <c r="K17" s="781"/>
      <c r="L17" s="781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819"/>
    </row>
    <row r="18" spans="1:23" s="80" customFormat="1" ht="23.1" customHeight="1">
      <c r="A18" s="903"/>
      <c r="B18" s="970"/>
      <c r="C18" s="935"/>
      <c r="D18" s="1127" t="s">
        <v>922</v>
      </c>
      <c r="E18" s="739" t="s">
        <v>923</v>
      </c>
      <c r="F18" s="1123">
        <f>+'FC-3_1_INF_ADIC_CPyG'!L31</f>
        <v>0</v>
      </c>
      <c r="G18" s="1129">
        <f>F18/$F$38</f>
        <v>0</v>
      </c>
      <c r="H18" s="936"/>
      <c r="I18" s="970"/>
      <c r="J18" s="818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819"/>
    </row>
    <row r="19" spans="1:23" s="80" customFormat="1" ht="23.1" customHeight="1">
      <c r="A19" s="903"/>
      <c r="B19" s="970"/>
      <c r="C19" s="935"/>
      <c r="D19" s="1130" t="s">
        <v>924</v>
      </c>
      <c r="E19" s="1105" t="s">
        <v>925</v>
      </c>
      <c r="F19" s="721"/>
      <c r="G19" s="1131">
        <f>F19/$F$38</f>
        <v>0</v>
      </c>
      <c r="H19" s="936"/>
      <c r="I19" s="970"/>
      <c r="J19" s="824" t="s">
        <v>842</v>
      </c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819"/>
    </row>
    <row r="20" spans="1:23" s="80" customFormat="1" ht="9" customHeight="1">
      <c r="A20" s="1070"/>
      <c r="B20" s="970"/>
      <c r="C20" s="935"/>
      <c r="D20" s="8"/>
      <c r="E20" s="604"/>
      <c r="F20" s="57"/>
      <c r="G20" s="157"/>
      <c r="H20" s="936"/>
      <c r="I20" s="970"/>
      <c r="J20" s="818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819"/>
    </row>
    <row r="21" spans="1:23" s="80" customFormat="1" ht="23.1" customHeight="1">
      <c r="A21" s="1070"/>
      <c r="B21" s="970"/>
      <c r="C21" s="935"/>
      <c r="D21" s="1258" t="s">
        <v>926</v>
      </c>
      <c r="E21" s="1259"/>
      <c r="F21" s="154">
        <f>+'FC-3_1_INF_ADIC_CPyG'!L40</f>
        <v>320000</v>
      </c>
      <c r="G21" s="158">
        <f>F21/$F$38</f>
        <v>0.52756528620416776</v>
      </c>
      <c r="H21" s="936"/>
      <c r="I21" s="970"/>
      <c r="J21" s="818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819"/>
    </row>
    <row r="22" spans="1:23" s="80" customFormat="1" ht="9" customHeight="1">
      <c r="A22" s="1070"/>
      <c r="B22" s="970"/>
      <c r="C22" s="935"/>
      <c r="D22" s="8"/>
      <c r="E22" s="604"/>
      <c r="F22" s="57"/>
      <c r="G22" s="157"/>
      <c r="H22" s="936"/>
      <c r="I22" s="970"/>
      <c r="J22" s="818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819"/>
    </row>
    <row r="23" spans="1:23" s="29" customFormat="1" ht="23.1" customHeight="1">
      <c r="A23" s="903"/>
      <c r="C23" s="152"/>
      <c r="D23" s="1258" t="s">
        <v>927</v>
      </c>
      <c r="E23" s="1259"/>
      <c r="F23" s="154">
        <f>F24+F28</f>
        <v>209000</v>
      </c>
      <c r="G23" s="158">
        <f>F23/$F$38</f>
        <v>0.34456607755209706</v>
      </c>
      <c r="H23" s="153"/>
      <c r="J23" s="818"/>
      <c r="K23" s="781"/>
      <c r="L23" s="781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819"/>
    </row>
    <row r="24" spans="1:23" s="29" customFormat="1" ht="23.1" customHeight="1">
      <c r="A24" s="903"/>
      <c r="C24" s="152"/>
      <c r="D24" s="737" t="s">
        <v>928</v>
      </c>
      <c r="E24" s="738"/>
      <c r="F24" s="77">
        <f>SUM(F25:F27)</f>
        <v>209000</v>
      </c>
      <c r="G24" s="158">
        <f t="shared" ref="G24:G31" si="0">F24/$F$38</f>
        <v>0.34456607755209706</v>
      </c>
      <c r="H24" s="153"/>
      <c r="J24" s="818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819"/>
    </row>
    <row r="25" spans="1:23" s="80" customFormat="1" ht="23.1" customHeight="1">
      <c r="A25" s="903"/>
      <c r="B25" s="970"/>
      <c r="C25" s="935"/>
      <c r="D25" s="1127" t="s">
        <v>920</v>
      </c>
      <c r="E25" s="739" t="s">
        <v>929</v>
      </c>
      <c r="F25" s="1123">
        <f>'FC-9_TRANS_SUBV'!K86+'FC-9_TRANS_SUBV'!K87</f>
        <v>209000</v>
      </c>
      <c r="G25" s="1128">
        <f t="shared" si="0"/>
        <v>0.34456607755209706</v>
      </c>
      <c r="H25" s="936"/>
      <c r="I25" s="970"/>
      <c r="J25" s="818"/>
      <c r="K25" s="781"/>
      <c r="L25" s="781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819"/>
    </row>
    <row r="26" spans="1:23" s="80" customFormat="1" ht="23.1" customHeight="1">
      <c r="A26" s="903"/>
      <c r="B26" s="970"/>
      <c r="C26" s="935"/>
      <c r="D26" s="1127" t="s">
        <v>922</v>
      </c>
      <c r="E26" s="739" t="s">
        <v>930</v>
      </c>
      <c r="F26" s="1123">
        <f>'FC-9_TRANS_SUBV'!K89</f>
        <v>0</v>
      </c>
      <c r="G26" s="1129">
        <f t="shared" si="0"/>
        <v>0</v>
      </c>
      <c r="H26" s="936"/>
      <c r="I26" s="970"/>
      <c r="J26" s="818"/>
      <c r="K26" s="781"/>
      <c r="L26" s="781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819"/>
    </row>
    <row r="27" spans="1:23" s="80" customFormat="1" ht="23.1" customHeight="1">
      <c r="A27" s="903"/>
      <c r="B27" s="970"/>
      <c r="C27" s="935"/>
      <c r="D27" s="1130" t="s">
        <v>924</v>
      </c>
      <c r="E27" s="1105" t="s">
        <v>931</v>
      </c>
      <c r="F27" s="1124">
        <f>'FC-9_TRANS_SUBV'!K88</f>
        <v>0</v>
      </c>
      <c r="G27" s="1131">
        <f t="shared" si="0"/>
        <v>0</v>
      </c>
      <c r="H27" s="936"/>
      <c r="I27" s="970"/>
      <c r="J27" s="818"/>
      <c r="K27" s="781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819"/>
    </row>
    <row r="28" spans="1:23" s="80" customFormat="1" ht="23.1" customHeight="1">
      <c r="A28" s="903"/>
      <c r="B28" s="970"/>
      <c r="C28" s="935"/>
      <c r="D28" s="737" t="s">
        <v>932</v>
      </c>
      <c r="E28" s="738"/>
      <c r="F28" s="77">
        <f>SUM(F29:F31)</f>
        <v>0</v>
      </c>
      <c r="G28" s="158">
        <f t="shared" si="0"/>
        <v>0</v>
      </c>
      <c r="H28" s="936"/>
      <c r="I28" s="970"/>
      <c r="J28" s="818" t="str">
        <f>IF(F28='FC-9_TRANS_SUBV'!O43,"","Ojo! El importe total de las subvenciones de capital concedidas no coincide con el indicado en FC-9")</f>
        <v/>
      </c>
      <c r="K28" s="781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819"/>
    </row>
    <row r="29" spans="1:23" s="80" customFormat="1" ht="23.1" customHeight="1">
      <c r="A29" s="903"/>
      <c r="B29" s="970"/>
      <c r="C29" s="935"/>
      <c r="D29" s="740" t="s">
        <v>920</v>
      </c>
      <c r="E29" s="741" t="s">
        <v>929</v>
      </c>
      <c r="F29" s="735">
        <f>'FC-9_TRANS_SUBV'!O47+'FC-9_TRANS_SUBV'!O48</f>
        <v>0</v>
      </c>
      <c r="G29" s="729">
        <f t="shared" si="0"/>
        <v>0</v>
      </c>
      <c r="H29" s="936"/>
      <c r="I29" s="970"/>
      <c r="J29" s="824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819"/>
    </row>
    <row r="30" spans="1:23" s="80" customFormat="1" ht="23.1" customHeight="1">
      <c r="A30" s="903"/>
      <c r="B30" s="970"/>
      <c r="C30" s="935"/>
      <c r="D30" s="740" t="s">
        <v>922</v>
      </c>
      <c r="E30" s="741" t="s">
        <v>930</v>
      </c>
      <c r="F30" s="735">
        <f>'FC-9_TRANS_SUBV'!O50</f>
        <v>0</v>
      </c>
      <c r="G30" s="730">
        <f t="shared" si="0"/>
        <v>0</v>
      </c>
      <c r="H30" s="936"/>
      <c r="I30" s="970"/>
      <c r="J30" s="824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819"/>
    </row>
    <row r="31" spans="1:23" s="80" customFormat="1" ht="23.1" customHeight="1">
      <c r="A31" s="1070"/>
      <c r="B31" s="970"/>
      <c r="C31" s="935"/>
      <c r="D31" s="742" t="s">
        <v>924</v>
      </c>
      <c r="E31" s="743" t="s">
        <v>931</v>
      </c>
      <c r="F31" s="736">
        <f>'FC-9_TRANS_SUBV'!O49</f>
        <v>0</v>
      </c>
      <c r="G31" s="731">
        <f t="shared" si="0"/>
        <v>0</v>
      </c>
      <c r="H31" s="936"/>
      <c r="I31" s="970"/>
      <c r="J31" s="824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819"/>
    </row>
    <row r="32" spans="1:23" s="80" customFormat="1" ht="9" customHeight="1">
      <c r="A32" s="1070"/>
      <c r="B32" s="970"/>
      <c r="C32" s="935"/>
      <c r="D32" s="8"/>
      <c r="E32" s="604"/>
      <c r="F32" s="57"/>
      <c r="G32" s="157"/>
      <c r="H32" s="936"/>
      <c r="I32" s="970"/>
      <c r="J32" s="818"/>
      <c r="K32" s="781"/>
      <c r="L32" s="781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819"/>
    </row>
    <row r="33" spans="1:23" s="29" customFormat="1" ht="23.1" customHeight="1">
      <c r="A33" s="903"/>
      <c r="C33" s="152"/>
      <c r="D33" s="1258" t="s">
        <v>933</v>
      </c>
      <c r="E33" s="1259"/>
      <c r="F33" s="154">
        <f>SUM(F34:F36)</f>
        <v>77560</v>
      </c>
      <c r="G33" s="158">
        <f t="shared" ref="G33:G36" si="1">F33/$F$38</f>
        <v>0.12786863624373515</v>
      </c>
      <c r="H33" s="153"/>
      <c r="J33" s="818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819"/>
    </row>
    <row r="34" spans="1:23" s="80" customFormat="1" ht="23.1" customHeight="1">
      <c r="A34" s="903"/>
      <c r="B34" s="970"/>
      <c r="C34" s="935"/>
      <c r="D34" s="1127" t="s">
        <v>920</v>
      </c>
      <c r="E34" s="739" t="s">
        <v>934</v>
      </c>
      <c r="F34" s="654">
        <v>34000</v>
      </c>
      <c r="G34" s="1128">
        <f t="shared" si="1"/>
        <v>5.6053811659192827E-2</v>
      </c>
      <c r="H34" s="936"/>
      <c r="I34" s="970"/>
      <c r="J34" s="824" t="s">
        <v>842</v>
      </c>
      <c r="K34" s="781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819"/>
    </row>
    <row r="35" spans="1:23" s="80" customFormat="1" ht="23.1" customHeight="1">
      <c r="A35" s="903"/>
      <c r="B35" s="970"/>
      <c r="C35" s="935"/>
      <c r="D35" s="1127" t="s">
        <v>922</v>
      </c>
      <c r="E35" s="739" t="s">
        <v>935</v>
      </c>
      <c r="F35" s="654"/>
      <c r="G35" s="1129">
        <f t="shared" si="1"/>
        <v>0</v>
      </c>
      <c r="H35" s="936"/>
      <c r="I35" s="970"/>
      <c r="J35" s="824" t="s">
        <v>842</v>
      </c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819"/>
    </row>
    <row r="36" spans="1:23" s="80" customFormat="1" ht="23.1" customHeight="1">
      <c r="A36" s="903"/>
      <c r="B36" s="970"/>
      <c r="C36" s="935"/>
      <c r="D36" s="1130" t="s">
        <v>924</v>
      </c>
      <c r="E36" s="958" t="s">
        <v>936</v>
      </c>
      <c r="F36" s="721">
        <v>43560</v>
      </c>
      <c r="G36" s="1131">
        <f t="shared" si="1"/>
        <v>7.1814824584542331E-2</v>
      </c>
      <c r="H36" s="936"/>
      <c r="I36" s="970"/>
      <c r="J36" s="824" t="s">
        <v>842</v>
      </c>
      <c r="K36" s="781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819"/>
    </row>
    <row r="37" spans="1:23" s="80" customFormat="1" ht="23.1" customHeight="1">
      <c r="A37" s="903"/>
      <c r="B37" s="970"/>
      <c r="C37" s="935"/>
      <c r="D37" s="604"/>
      <c r="E37" s="632"/>
      <c r="F37" s="458"/>
      <c r="G37" s="393"/>
      <c r="H37" s="936"/>
      <c r="I37" s="970"/>
      <c r="J37" s="818"/>
      <c r="K37" s="781"/>
      <c r="L37" s="781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819"/>
    </row>
    <row r="38" spans="1:23" s="80" customFormat="1" ht="23.1" customHeight="1" thickBot="1">
      <c r="A38" s="903"/>
      <c r="B38" s="970"/>
      <c r="C38" s="935"/>
      <c r="D38" s="1260" t="s">
        <v>937</v>
      </c>
      <c r="E38" s="1261"/>
      <c r="F38" s="645">
        <f>F33+F23+F21+F16</f>
        <v>606560</v>
      </c>
      <c r="G38" s="155">
        <f>F38/F38</f>
        <v>1</v>
      </c>
      <c r="H38" s="936"/>
      <c r="I38" s="970"/>
      <c r="J38" s="818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819"/>
    </row>
    <row r="39" spans="1:23" ht="23.1" customHeight="1">
      <c r="A39" s="903"/>
      <c r="C39" s="47"/>
      <c r="D39" s="604"/>
      <c r="E39" s="632"/>
      <c r="F39" s="458"/>
      <c r="G39" s="392"/>
      <c r="H39" s="39"/>
      <c r="J39" s="818"/>
      <c r="K39" s="781"/>
      <c r="L39" s="781"/>
      <c r="M39" s="781"/>
      <c r="N39" s="781"/>
      <c r="O39" s="781"/>
      <c r="P39" s="781"/>
      <c r="Q39" s="781"/>
      <c r="R39" s="781"/>
      <c r="S39" s="781"/>
      <c r="T39" s="781"/>
      <c r="U39" s="781"/>
      <c r="V39" s="781"/>
      <c r="W39" s="819"/>
    </row>
    <row r="40" spans="1:23" ht="23.1" customHeight="1">
      <c r="A40" s="903"/>
      <c r="C40" s="47"/>
      <c r="D40" s="233" t="s">
        <v>579</v>
      </c>
      <c r="E40" s="632"/>
      <c r="F40" s="458"/>
      <c r="G40" s="392"/>
      <c r="H40" s="39"/>
      <c r="J40" s="818"/>
      <c r="K40" s="781"/>
      <c r="L40" s="781"/>
      <c r="M40" s="781"/>
      <c r="N40" s="781"/>
      <c r="O40" s="781"/>
      <c r="P40" s="781"/>
      <c r="Q40" s="781"/>
      <c r="R40" s="781"/>
      <c r="S40" s="781"/>
      <c r="T40" s="781"/>
      <c r="U40" s="781"/>
      <c r="V40" s="781"/>
      <c r="W40" s="819"/>
    </row>
    <row r="41" spans="1:23" ht="72" customHeight="1">
      <c r="A41" s="903"/>
      <c r="C41" s="47"/>
      <c r="D41" s="1262" t="s">
        <v>938</v>
      </c>
      <c r="E41" s="1262"/>
      <c r="F41" s="1262"/>
      <c r="G41" s="1262"/>
      <c r="H41" s="39"/>
      <c r="J41" s="818"/>
      <c r="K41" s="781"/>
      <c r="L41" s="781"/>
      <c r="M41" s="781"/>
      <c r="N41" s="781"/>
      <c r="O41" s="781"/>
      <c r="P41" s="781"/>
      <c r="Q41" s="781"/>
      <c r="R41" s="781"/>
      <c r="S41" s="781"/>
      <c r="T41" s="781"/>
      <c r="U41" s="781"/>
      <c r="V41" s="781"/>
      <c r="W41" s="819"/>
    </row>
    <row r="42" spans="1:23" ht="23.1" customHeight="1" thickBot="1">
      <c r="A42" s="903"/>
      <c r="C42" s="50"/>
      <c r="D42" s="1148"/>
      <c r="E42" s="1148"/>
      <c r="F42" s="26"/>
      <c r="G42" s="51"/>
      <c r="H42" s="52"/>
      <c r="J42" s="820"/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2"/>
    </row>
    <row r="43" spans="1:23" ht="23.1" customHeight="1">
      <c r="A43" s="347"/>
      <c r="I43" s="32" t="s">
        <v>140</v>
      </c>
    </row>
    <row r="44" spans="1:23" ht="15">
      <c r="A44" s="347"/>
      <c r="D44" s="53" t="s">
        <v>39</v>
      </c>
      <c r="G44" s="30" t="s">
        <v>939</v>
      </c>
    </row>
    <row r="45" spans="1:23" ht="15">
      <c r="A45" s="347"/>
      <c r="D45" s="53" t="s">
        <v>41</v>
      </c>
    </row>
    <row r="46" spans="1:23" ht="15">
      <c r="A46" s="347"/>
      <c r="D46" s="53" t="s">
        <v>42</v>
      </c>
    </row>
    <row r="47" spans="1:23" ht="15">
      <c r="A47" s="347"/>
      <c r="D47" s="53" t="s">
        <v>43</v>
      </c>
    </row>
    <row r="48" spans="1:23" ht="15">
      <c r="A48" s="347"/>
      <c r="D48" s="53" t="s">
        <v>44</v>
      </c>
    </row>
    <row r="49" spans="1:1" ht="23.1" customHeight="1">
      <c r="A49" s="347"/>
    </row>
    <row r="50" spans="1:1" ht="23.1" customHeight="1">
      <c r="A50" s="347"/>
    </row>
    <row r="51" spans="1:1" ht="23.1" customHeight="1">
      <c r="A51" s="347"/>
    </row>
    <row r="52" spans="1:1" ht="23.1" customHeight="1">
      <c r="A52" s="347"/>
    </row>
    <row r="53" spans="1:1" ht="23.1" customHeight="1">
      <c r="A53" s="347"/>
    </row>
    <row r="54" spans="1:1" ht="23.1" customHeight="1">
      <c r="A54" s="347"/>
    </row>
    <row r="55" spans="1:1" ht="23.1" customHeight="1">
      <c r="A55" s="347"/>
    </row>
    <row r="56" spans="1:1" ht="23.1" customHeight="1">
      <c r="A56" s="347"/>
    </row>
    <row r="57" spans="1:1" ht="23.1" customHeight="1">
      <c r="A57" s="347"/>
    </row>
    <row r="58" spans="1:1" ht="23.1" customHeight="1">
      <c r="A58" s="347"/>
    </row>
    <row r="59" spans="1:1" ht="23.1" customHeight="1">
      <c r="A59" s="347"/>
    </row>
    <row r="60" spans="1:1" ht="23.1" customHeight="1">
      <c r="A60" s="347"/>
    </row>
    <row r="65" spans="1:1" ht="23.1" customHeight="1">
      <c r="A65" s="24"/>
    </row>
    <row r="66" spans="1:1" ht="23.1" customHeight="1">
      <c r="A66" s="24"/>
    </row>
    <row r="67" spans="1:1" ht="23.1" customHeight="1">
      <c r="A67" s="24"/>
    </row>
    <row r="68" spans="1:1" ht="23.1" customHeight="1">
      <c r="A68" s="24"/>
    </row>
    <row r="69" spans="1:1" ht="23.1" customHeight="1">
      <c r="A69" s="24"/>
    </row>
  </sheetData>
  <sheetProtection password="C494" sheet="1" objects="1" scenarios="1"/>
  <mergeCells count="11">
    <mergeCell ref="D42:E42"/>
    <mergeCell ref="D23:E23"/>
    <mergeCell ref="D33:E33"/>
    <mergeCell ref="D38:E38"/>
    <mergeCell ref="D21:E21"/>
    <mergeCell ref="D41:G41"/>
    <mergeCell ref="G6:G7"/>
    <mergeCell ref="E9:G9"/>
    <mergeCell ref="D12:E12"/>
    <mergeCell ref="D14:E14"/>
    <mergeCell ref="D16:E16"/>
  </mergeCells>
  <phoneticPr fontId="16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/>
  <ignoredErrors>
    <ignoredError sqref="G32:G38 G16:G2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tabColor rgb="FFFF0000"/>
    <pageSetUpPr fitToPage="1"/>
  </sheetPr>
  <dimension ref="A2:Y76"/>
  <sheetViews>
    <sheetView workbookViewId="0">
      <selection activeCell="H26" sqref="H26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109375" style="32" customWidth="1"/>
    <col min="5" max="5" width="68" style="32" customWidth="1"/>
    <col min="6" max="6" width="16.6640625" style="33" customWidth="1"/>
    <col min="7" max="7" width="3.33203125" style="32" customWidth="1"/>
    <col min="8" max="16384" width="10.6640625" style="32"/>
  </cols>
  <sheetData>
    <row r="2" spans="1:25" ht="23.1" customHeight="1">
      <c r="A2" s="369"/>
      <c r="E2" s="347" t="str">
        <f>_GENERAL!D2</f>
        <v>Área de Presidencia, Hacienda y Modernización</v>
      </c>
    </row>
    <row r="3" spans="1:25" ht="23.1" customHeight="1">
      <c r="A3" s="369"/>
      <c r="E3" s="347" t="str">
        <f>_GENERAL!D3</f>
        <v>Dirección Insular de Hacienda</v>
      </c>
    </row>
    <row r="4" spans="1:25" ht="23.1" customHeight="1" thickBot="1">
      <c r="A4" s="369"/>
      <c r="B4" s="32" t="s">
        <v>100</v>
      </c>
    </row>
    <row r="5" spans="1:25" ht="9" customHeight="1">
      <c r="A5" s="975"/>
      <c r="C5" s="34"/>
      <c r="D5" s="35"/>
      <c r="E5" s="35"/>
      <c r="F5" s="36"/>
      <c r="G5" s="3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30" customHeight="1">
      <c r="A6" s="975"/>
      <c r="C6" s="38"/>
      <c r="D6" s="29" t="s">
        <v>2</v>
      </c>
      <c r="F6" s="1140">
        <f>ejercicio</f>
        <v>2022</v>
      </c>
      <c r="G6" s="39"/>
    </row>
    <row r="7" spans="1:25" ht="30" customHeight="1">
      <c r="A7" s="975"/>
      <c r="C7" s="38"/>
      <c r="D7" s="29" t="s">
        <v>3</v>
      </c>
      <c r="F7" s="1140"/>
      <c r="G7" s="39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</row>
    <row r="8" spans="1:25" ht="30" customHeight="1">
      <c r="A8" s="975"/>
      <c r="C8" s="38"/>
      <c r="D8" s="40"/>
      <c r="F8" s="41"/>
      <c r="G8" s="39"/>
    </row>
    <row r="9" spans="1:25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936"/>
      <c r="H9" s="970"/>
      <c r="I9" s="970"/>
      <c r="J9" s="970"/>
      <c r="K9" s="970"/>
      <c r="L9" s="970"/>
      <c r="M9" s="970"/>
      <c r="N9" s="970"/>
      <c r="O9" s="970"/>
      <c r="P9" s="970"/>
      <c r="Q9" s="970"/>
      <c r="R9" s="970"/>
      <c r="S9" s="970"/>
      <c r="T9" s="970"/>
      <c r="U9" s="970"/>
      <c r="V9" s="970"/>
      <c r="W9" s="970"/>
      <c r="X9" s="970"/>
      <c r="Y9" s="970"/>
    </row>
    <row r="10" spans="1:25" ht="6.95" customHeight="1">
      <c r="A10" s="975"/>
      <c r="C10" s="38"/>
      <c r="G10" s="39"/>
      <c r="I10" s="970"/>
      <c r="J10" s="970"/>
      <c r="K10" s="970"/>
      <c r="L10" s="970"/>
      <c r="M10" s="970"/>
      <c r="N10" s="970"/>
      <c r="O10" s="970"/>
      <c r="P10" s="970"/>
      <c r="Q10" s="970"/>
      <c r="R10" s="970"/>
      <c r="S10" s="970"/>
      <c r="T10" s="970"/>
      <c r="U10" s="970"/>
      <c r="V10" s="970"/>
      <c r="W10" s="970"/>
      <c r="X10" s="970"/>
      <c r="Y10" s="970"/>
    </row>
    <row r="11" spans="1:25" s="46" customFormat="1" ht="30" customHeight="1">
      <c r="A11" s="901"/>
      <c r="C11" s="42"/>
      <c r="D11" s="43" t="s">
        <v>940</v>
      </c>
      <c r="E11" s="43"/>
      <c r="F11" s="44"/>
      <c r="G11" s="45"/>
      <c r="I11" s="970"/>
      <c r="J11" s="970"/>
      <c r="K11" s="970"/>
      <c r="L11" s="970"/>
      <c r="M11" s="970"/>
      <c r="N11" s="970"/>
      <c r="O11" s="970"/>
      <c r="P11" s="970"/>
      <c r="Q11" s="970"/>
      <c r="R11" s="970"/>
      <c r="S11" s="970"/>
      <c r="T11" s="970"/>
      <c r="U11" s="970"/>
      <c r="V11" s="970"/>
      <c r="W11" s="970"/>
      <c r="X11" s="970"/>
      <c r="Y11" s="970"/>
    </row>
    <row r="12" spans="1:25" s="46" customFormat="1" ht="30" customHeight="1">
      <c r="A12" s="901"/>
      <c r="C12" s="42"/>
      <c r="D12" s="1139" t="str">
        <f>IF(_GENERAL!D15&lt;&gt;"Íntegra","No aplica a entidades con participación del Cabildo no íntegra","")</f>
        <v>No aplica a entidades con participación del Cabildo no íntegra</v>
      </c>
      <c r="E12" s="347"/>
      <c r="F12" s="31"/>
      <c r="G12" s="45"/>
      <c r="I12" s="970"/>
      <c r="J12" s="970"/>
      <c r="K12" s="970"/>
      <c r="L12" s="970"/>
      <c r="M12" s="970"/>
      <c r="N12" s="970"/>
      <c r="O12" s="970"/>
      <c r="P12" s="970"/>
      <c r="Q12" s="970"/>
      <c r="R12" s="970"/>
      <c r="S12" s="970"/>
      <c r="T12" s="970"/>
      <c r="U12" s="970"/>
      <c r="V12" s="970"/>
      <c r="W12" s="970"/>
      <c r="X12" s="970"/>
      <c r="Y12" s="970"/>
    </row>
    <row r="13" spans="1:25" ht="9" customHeight="1">
      <c r="A13" s="901"/>
      <c r="C13" s="47"/>
      <c r="D13" s="604"/>
      <c r="E13" s="604"/>
      <c r="F13" s="31"/>
      <c r="G13" s="39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0"/>
      <c r="V13" s="970"/>
      <c r="W13" s="970"/>
      <c r="X13" s="970"/>
      <c r="Y13" s="970"/>
    </row>
    <row r="14" spans="1:25" s="98" customFormat="1" ht="24" customHeight="1">
      <c r="A14" s="902"/>
      <c r="B14" s="632"/>
      <c r="C14" s="916"/>
      <c r="D14" s="1184" t="s">
        <v>941</v>
      </c>
      <c r="E14" s="1186"/>
      <c r="F14" s="141" t="s">
        <v>612</v>
      </c>
      <c r="G14" s="917"/>
      <c r="H14" s="632"/>
      <c r="I14" s="970"/>
      <c r="J14" s="970"/>
      <c r="K14" s="970"/>
      <c r="L14" s="970"/>
      <c r="M14" s="970"/>
      <c r="N14" s="970"/>
      <c r="O14" s="970"/>
      <c r="P14" s="970"/>
      <c r="Q14" s="970"/>
      <c r="R14" s="970"/>
      <c r="S14" s="970"/>
      <c r="T14" s="970"/>
      <c r="U14" s="970"/>
      <c r="V14" s="970"/>
      <c r="W14" s="970"/>
      <c r="X14" s="970"/>
      <c r="Y14" s="970"/>
    </row>
    <row r="15" spans="1:25" ht="9" customHeight="1">
      <c r="A15" s="975"/>
      <c r="C15" s="47"/>
      <c r="D15" s="28"/>
      <c r="E15" s="604"/>
      <c r="F15" s="31"/>
      <c r="G15" s="39"/>
      <c r="I15" s="970"/>
      <c r="J15" s="970"/>
      <c r="K15" s="970"/>
      <c r="L15" s="970"/>
      <c r="M15" s="970"/>
      <c r="N15" s="970"/>
      <c r="O15" s="970"/>
      <c r="P15" s="970"/>
      <c r="Q15" s="970"/>
      <c r="R15" s="970"/>
      <c r="S15" s="970"/>
      <c r="T15" s="970"/>
      <c r="U15" s="970"/>
      <c r="V15" s="970"/>
      <c r="W15" s="970"/>
      <c r="X15" s="970"/>
      <c r="Y15" s="970"/>
    </row>
    <row r="16" spans="1:25" s="80" customFormat="1" ht="23.1" customHeight="1">
      <c r="A16" s="903"/>
      <c r="B16" s="970"/>
      <c r="C16" s="935"/>
      <c r="D16" s="1132" t="s">
        <v>356</v>
      </c>
      <c r="E16" s="1022" t="s">
        <v>942</v>
      </c>
      <c r="F16" s="1133">
        <f>'_FC-90_DETALLE'!H16</f>
        <v>0</v>
      </c>
      <c r="G16" s="936"/>
      <c r="H16" s="970"/>
      <c r="I16" s="970"/>
      <c r="J16" s="970"/>
      <c r="K16" s="970"/>
      <c r="L16" s="970"/>
      <c r="M16" s="970"/>
      <c r="N16" s="970"/>
      <c r="O16" s="970"/>
      <c r="P16" s="970"/>
      <c r="Q16" s="970"/>
      <c r="R16" s="970"/>
      <c r="S16" s="970"/>
      <c r="T16" s="970"/>
      <c r="U16" s="970"/>
      <c r="V16" s="970"/>
      <c r="W16" s="970"/>
      <c r="X16" s="970"/>
      <c r="Y16" s="970"/>
    </row>
    <row r="17" spans="1:25" s="80" customFormat="1" ht="23.1" customHeight="1">
      <c r="A17" s="903"/>
      <c r="B17" s="970"/>
      <c r="C17" s="935"/>
      <c r="D17" s="1127" t="s">
        <v>358</v>
      </c>
      <c r="E17" s="739" t="s">
        <v>943</v>
      </c>
      <c r="F17" s="1123">
        <f>'_FC-90_DETALLE'!H17</f>
        <v>0</v>
      </c>
      <c r="G17" s="936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</row>
    <row r="18" spans="1:25" s="80" customFormat="1" ht="23.1" customHeight="1">
      <c r="A18" s="903"/>
      <c r="B18" s="970"/>
      <c r="C18" s="935"/>
      <c r="D18" s="1127" t="s">
        <v>360</v>
      </c>
      <c r="E18" s="739" t="s">
        <v>944</v>
      </c>
      <c r="F18" s="1123">
        <f>'_FC-90_DETALLE'!H18</f>
        <v>365560</v>
      </c>
      <c r="G18" s="936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</row>
    <row r="19" spans="1:25" s="80" customFormat="1" ht="23.1" customHeight="1">
      <c r="A19" s="903"/>
      <c r="B19" s="970"/>
      <c r="C19" s="935"/>
      <c r="D19" s="1127" t="s">
        <v>362</v>
      </c>
      <c r="E19" s="739" t="s">
        <v>945</v>
      </c>
      <c r="F19" s="1123">
        <f>'_FC-90_DETALLE'!H30</f>
        <v>606160.18999999994</v>
      </c>
      <c r="G19" s="936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</row>
    <row r="20" spans="1:25" s="80" customFormat="1" ht="23.1" customHeight="1">
      <c r="A20" s="903"/>
      <c r="B20" s="970"/>
      <c r="C20" s="935"/>
      <c r="D20" s="1130" t="s">
        <v>364</v>
      </c>
      <c r="E20" s="1105" t="s">
        <v>946</v>
      </c>
      <c r="F20" s="1124">
        <f>'_FC-90_DETALLE'!H35</f>
        <v>32000</v>
      </c>
      <c r="G20" s="936"/>
      <c r="H20" s="970"/>
      <c r="I20" s="970"/>
      <c r="J20" s="970"/>
      <c r="K20" s="970"/>
      <c r="L20" s="970"/>
      <c r="M20" s="970"/>
      <c r="N20" s="970"/>
      <c r="O20" s="970"/>
      <c r="P20" s="970"/>
      <c r="Q20" s="970"/>
      <c r="R20" s="970"/>
      <c r="S20" s="970"/>
      <c r="T20" s="970"/>
      <c r="U20" s="970"/>
      <c r="V20" s="970"/>
      <c r="W20" s="970"/>
      <c r="X20" s="970"/>
      <c r="Y20" s="970"/>
    </row>
    <row r="21" spans="1:25" s="80" customFormat="1" ht="23.1" customHeight="1">
      <c r="A21" s="1070"/>
      <c r="B21" s="970"/>
      <c r="C21" s="935"/>
      <c r="D21" s="1258" t="s">
        <v>947</v>
      </c>
      <c r="E21" s="1259"/>
      <c r="F21" s="154">
        <f>SUM(F16:F20)</f>
        <v>1003720.19</v>
      </c>
      <c r="G21" s="936"/>
      <c r="H21" s="970"/>
      <c r="I21" s="970"/>
      <c r="J21" s="970"/>
      <c r="K21" s="970"/>
      <c r="L21" s="970"/>
      <c r="M21" s="970"/>
      <c r="N21" s="970"/>
      <c r="O21" s="970"/>
      <c r="P21" s="970"/>
      <c r="Q21" s="970"/>
      <c r="R21" s="970"/>
      <c r="S21" s="970"/>
      <c r="T21" s="970"/>
      <c r="U21" s="970"/>
      <c r="V21" s="970"/>
      <c r="W21" s="970"/>
      <c r="X21" s="970"/>
      <c r="Y21" s="970"/>
    </row>
    <row r="22" spans="1:25" s="80" customFormat="1" ht="9" customHeight="1">
      <c r="A22" s="1070"/>
      <c r="B22" s="970"/>
      <c r="C22" s="935"/>
      <c r="D22" s="8"/>
      <c r="E22" s="604"/>
      <c r="F22" s="57"/>
      <c r="G22" s="936"/>
      <c r="H22" s="970"/>
      <c r="I22" s="970"/>
      <c r="J22" s="970"/>
      <c r="K22" s="970"/>
      <c r="L22" s="970"/>
      <c r="M22" s="970"/>
      <c r="N22" s="970"/>
      <c r="O22" s="970"/>
      <c r="P22" s="970"/>
      <c r="Q22" s="970"/>
      <c r="R22" s="970"/>
      <c r="S22" s="970"/>
      <c r="T22" s="970"/>
      <c r="U22" s="970"/>
      <c r="V22" s="970"/>
      <c r="W22" s="970"/>
      <c r="X22" s="970"/>
      <c r="Y22" s="970"/>
    </row>
    <row r="23" spans="1:25" s="80" customFormat="1" ht="23.1" customHeight="1">
      <c r="A23" s="903"/>
      <c r="B23" s="970"/>
      <c r="C23" s="935"/>
      <c r="D23" s="1132" t="s">
        <v>366</v>
      </c>
      <c r="E23" s="1022" t="s">
        <v>948</v>
      </c>
      <c r="F23" s="1133">
        <f>'_FC-90_DETALLE'!H45</f>
        <v>0</v>
      </c>
      <c r="G23" s="936"/>
      <c r="H23" s="970"/>
      <c r="I23" s="970"/>
      <c r="J23" s="970"/>
      <c r="K23" s="970"/>
      <c r="L23" s="970"/>
      <c r="M23" s="970"/>
      <c r="N23" s="970"/>
      <c r="O23" s="970"/>
      <c r="P23" s="970"/>
      <c r="Q23" s="970"/>
      <c r="R23" s="970"/>
      <c r="S23" s="970"/>
      <c r="T23" s="970"/>
      <c r="U23" s="970"/>
      <c r="V23" s="970"/>
      <c r="W23" s="970"/>
      <c r="X23" s="970"/>
      <c r="Y23" s="970"/>
    </row>
    <row r="24" spans="1:25" s="80" customFormat="1" ht="23.1" customHeight="1">
      <c r="A24" s="903"/>
      <c r="B24" s="970"/>
      <c r="C24" s="935"/>
      <c r="D24" s="1127" t="s">
        <v>368</v>
      </c>
      <c r="E24" s="739" t="s">
        <v>949</v>
      </c>
      <c r="F24" s="1123">
        <f>'_FC-90_DETALLE'!H49</f>
        <v>0</v>
      </c>
      <c r="G24" s="936"/>
      <c r="H24" s="970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1:25" s="80" customFormat="1" ht="23.1" customHeight="1">
      <c r="A25" s="1070"/>
      <c r="B25" s="970"/>
      <c r="C25" s="935"/>
      <c r="D25" s="1258" t="s">
        <v>950</v>
      </c>
      <c r="E25" s="1259"/>
      <c r="F25" s="154">
        <f>SUM(F23:F24)</f>
        <v>0</v>
      </c>
      <c r="G25" s="936"/>
      <c r="H25" s="970"/>
      <c r="I25" s="970"/>
      <c r="J25" s="970"/>
      <c r="K25" s="970"/>
      <c r="L25" s="970"/>
      <c r="M25" s="970"/>
      <c r="N25" s="970"/>
      <c r="O25" s="970"/>
      <c r="P25" s="970"/>
      <c r="Q25" s="970"/>
      <c r="R25" s="970"/>
      <c r="S25" s="970"/>
      <c r="T25" s="970"/>
      <c r="U25" s="970"/>
      <c r="V25" s="970"/>
      <c r="W25" s="970"/>
      <c r="X25" s="970"/>
      <c r="Y25" s="970"/>
    </row>
    <row r="26" spans="1:25" s="80" customFormat="1" ht="9" customHeight="1">
      <c r="A26" s="1070"/>
      <c r="B26" s="970"/>
      <c r="C26" s="935"/>
      <c r="D26" s="8"/>
      <c r="E26" s="604"/>
      <c r="F26" s="57"/>
      <c r="G26" s="936"/>
      <c r="H26" s="970"/>
      <c r="I26" s="970"/>
      <c r="J26" s="970"/>
      <c r="K26" s="970"/>
      <c r="L26" s="970"/>
      <c r="M26" s="970"/>
      <c r="N26" s="970"/>
      <c r="O26" s="970"/>
      <c r="P26" s="970"/>
      <c r="Q26" s="970"/>
      <c r="R26" s="970"/>
      <c r="S26" s="970"/>
      <c r="T26" s="970"/>
      <c r="U26" s="970"/>
      <c r="V26" s="970"/>
      <c r="W26" s="970"/>
      <c r="X26" s="970"/>
      <c r="Y26" s="970"/>
    </row>
    <row r="27" spans="1:25" s="80" customFormat="1" ht="23.1" customHeight="1">
      <c r="A27" s="903"/>
      <c r="B27" s="970"/>
      <c r="C27" s="935"/>
      <c r="D27" s="1132" t="s">
        <v>951</v>
      </c>
      <c r="E27" s="1022" t="s">
        <v>952</v>
      </c>
      <c r="F27" s="1133">
        <f>'_FC-90_DETALLE'!H56</f>
        <v>120</v>
      </c>
      <c r="G27" s="936"/>
      <c r="H27" s="970"/>
      <c r="I27" s="970"/>
      <c r="J27" s="970"/>
      <c r="K27" s="970"/>
      <c r="L27" s="970"/>
      <c r="M27" s="970"/>
      <c r="N27" s="970"/>
      <c r="O27" s="970"/>
      <c r="P27" s="970"/>
      <c r="Q27" s="970"/>
      <c r="R27" s="970"/>
      <c r="S27" s="970"/>
      <c r="T27" s="970"/>
      <c r="U27" s="970"/>
      <c r="V27" s="970"/>
      <c r="W27" s="970"/>
      <c r="X27" s="970"/>
      <c r="Y27" s="970"/>
    </row>
    <row r="28" spans="1:25" s="80" customFormat="1" ht="23.1" customHeight="1">
      <c r="A28" s="903"/>
      <c r="B28" s="970"/>
      <c r="C28" s="935"/>
      <c r="D28" s="1127" t="s">
        <v>953</v>
      </c>
      <c r="E28" s="739" t="s">
        <v>954</v>
      </c>
      <c r="F28" s="1123">
        <f>'_FC-90_DETALLE'!H63</f>
        <v>500</v>
      </c>
      <c r="G28" s="936"/>
      <c r="H28" s="970"/>
      <c r="I28" s="970"/>
      <c r="J28" s="970"/>
      <c r="K28" s="970"/>
      <c r="L28" s="970"/>
      <c r="M28" s="970"/>
      <c r="N28" s="970"/>
      <c r="O28" s="970"/>
      <c r="P28" s="970"/>
      <c r="Q28" s="970"/>
      <c r="R28" s="970"/>
      <c r="S28" s="970"/>
      <c r="T28" s="970"/>
      <c r="U28" s="970"/>
      <c r="V28" s="970"/>
      <c r="W28" s="970"/>
      <c r="X28" s="970"/>
      <c r="Y28" s="970"/>
    </row>
    <row r="29" spans="1:25" s="80" customFormat="1" ht="23.1" customHeight="1">
      <c r="A29" s="903"/>
      <c r="B29" s="970"/>
      <c r="C29" s="935"/>
      <c r="D29" s="1258" t="s">
        <v>955</v>
      </c>
      <c r="E29" s="1259"/>
      <c r="F29" s="154">
        <f>SUM(F27:F28)</f>
        <v>620</v>
      </c>
      <c r="G29" s="936"/>
      <c r="H29" s="970"/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70"/>
      <c r="V29" s="970"/>
      <c r="W29" s="970"/>
      <c r="X29" s="970"/>
      <c r="Y29" s="970"/>
    </row>
    <row r="30" spans="1:25" s="80" customFormat="1" ht="23.1" customHeight="1">
      <c r="A30" s="903"/>
      <c r="B30" s="970"/>
      <c r="C30" s="935"/>
      <c r="D30" s="604"/>
      <c r="E30" s="632"/>
      <c r="F30" s="458"/>
      <c r="G30" s="936"/>
      <c r="H30" s="970"/>
      <c r="I30" s="970"/>
      <c r="J30" s="970"/>
      <c r="K30" s="970"/>
      <c r="L30" s="970"/>
      <c r="M30" s="970"/>
      <c r="N30" s="970"/>
      <c r="O30" s="970"/>
      <c r="P30" s="970"/>
      <c r="Q30" s="970"/>
      <c r="R30" s="970"/>
      <c r="S30" s="970"/>
      <c r="T30" s="970"/>
      <c r="U30" s="970"/>
      <c r="V30" s="970"/>
      <c r="W30" s="970"/>
      <c r="X30" s="970"/>
      <c r="Y30" s="970"/>
    </row>
    <row r="31" spans="1:25" s="132" customFormat="1" ht="23.1" customHeight="1" thickBot="1">
      <c r="A31" s="1070"/>
      <c r="C31" s="42"/>
      <c r="D31" s="1263" t="s">
        <v>956</v>
      </c>
      <c r="E31" s="1264"/>
      <c r="F31" s="159">
        <f>F21+F25+F29</f>
        <v>1004340.19</v>
      </c>
      <c r="G31" s="45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</row>
    <row r="32" spans="1:25" s="80" customFormat="1" ht="9" customHeight="1">
      <c r="A32" s="1070"/>
      <c r="B32" s="970"/>
      <c r="C32" s="935"/>
      <c r="D32" s="8"/>
      <c r="E32" s="604"/>
      <c r="F32" s="57"/>
      <c r="G32" s="936"/>
      <c r="H32" s="970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s="80" customFormat="1" ht="23.1" customHeight="1">
      <c r="A33" s="1070"/>
      <c r="B33" s="970"/>
      <c r="C33" s="935"/>
      <c r="D33" s="1258" t="s">
        <v>957</v>
      </c>
      <c r="E33" s="1259"/>
      <c r="F33" s="154">
        <f>'_FC-90_DETALLE'!H76</f>
        <v>3799.83</v>
      </c>
      <c r="G33" s="936"/>
      <c r="H33" s="970"/>
      <c r="I33" s="970"/>
      <c r="J33" s="970"/>
      <c r="K33" s="970"/>
      <c r="L33" s="970"/>
      <c r="M33" s="970"/>
      <c r="N33" s="970"/>
      <c r="O33" s="970"/>
      <c r="P33" s="970"/>
      <c r="Q33" s="970"/>
      <c r="R33" s="970"/>
      <c r="S33" s="970"/>
      <c r="T33" s="970"/>
      <c r="U33" s="970"/>
      <c r="V33" s="970"/>
      <c r="W33" s="970"/>
      <c r="X33" s="970"/>
      <c r="Y33" s="970"/>
    </row>
    <row r="34" spans="1:25" s="80" customFormat="1" ht="9" customHeight="1">
      <c r="A34" s="1070"/>
      <c r="B34" s="970"/>
      <c r="C34" s="935"/>
      <c r="D34" s="8"/>
      <c r="E34" s="604"/>
      <c r="F34" s="57"/>
      <c r="G34" s="936"/>
      <c r="H34" s="970"/>
      <c r="I34" s="970"/>
      <c r="J34" s="970"/>
      <c r="K34" s="970"/>
      <c r="L34" s="970"/>
      <c r="M34" s="970"/>
      <c r="N34" s="970"/>
      <c r="O34" s="970"/>
      <c r="P34" s="970"/>
      <c r="Q34" s="970"/>
      <c r="R34" s="970"/>
      <c r="S34" s="970"/>
      <c r="T34" s="970"/>
      <c r="U34" s="970"/>
      <c r="V34" s="970"/>
      <c r="W34" s="970"/>
      <c r="X34" s="970"/>
      <c r="Y34" s="970"/>
    </row>
    <row r="35" spans="1:25" s="80" customFormat="1" ht="23.1" customHeight="1" thickBot="1">
      <c r="A35" s="903"/>
      <c r="B35" s="970"/>
      <c r="C35" s="935"/>
      <c r="D35" s="1263" t="s">
        <v>956</v>
      </c>
      <c r="E35" s="1264"/>
      <c r="F35" s="159">
        <f>F31+F33</f>
        <v>1008140.0199999999</v>
      </c>
      <c r="G35" s="936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0"/>
      <c r="X35" s="970"/>
      <c r="Y35" s="970"/>
    </row>
    <row r="36" spans="1:25" s="80" customFormat="1" ht="9" customHeight="1">
      <c r="A36" s="1070"/>
      <c r="B36" s="970"/>
      <c r="C36" s="935"/>
      <c r="D36" s="8"/>
      <c r="E36" s="604"/>
      <c r="F36" s="57"/>
      <c r="G36" s="936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0"/>
      <c r="X36" s="970"/>
      <c r="Y36" s="970"/>
    </row>
    <row r="37" spans="1:25" s="80" customFormat="1" ht="23.1" customHeight="1">
      <c r="A37" s="903"/>
      <c r="B37" s="970"/>
      <c r="C37" s="935"/>
      <c r="D37" s="160"/>
      <c r="E37" s="160"/>
      <c r="F37" s="161"/>
      <c r="G37" s="936"/>
      <c r="H37" s="970"/>
      <c r="I37" s="970"/>
      <c r="J37" s="970"/>
      <c r="K37" s="970"/>
      <c r="L37" s="970"/>
      <c r="M37" s="970"/>
      <c r="N37" s="970"/>
      <c r="O37" s="970"/>
      <c r="P37" s="970"/>
      <c r="Q37" s="970"/>
      <c r="R37" s="970"/>
      <c r="S37" s="970"/>
      <c r="T37" s="970"/>
      <c r="U37" s="970"/>
      <c r="V37" s="970"/>
      <c r="W37" s="970"/>
      <c r="X37" s="970"/>
      <c r="Y37" s="970"/>
    </row>
    <row r="38" spans="1:25" s="98" customFormat="1" ht="24" customHeight="1">
      <c r="A38" s="975"/>
      <c r="B38" s="632"/>
      <c r="C38" s="916"/>
      <c r="D38" s="1184" t="s">
        <v>958</v>
      </c>
      <c r="E38" s="1186"/>
      <c r="F38" s="141" t="s">
        <v>612</v>
      </c>
      <c r="G38" s="917"/>
      <c r="H38" s="632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</row>
    <row r="39" spans="1:25" ht="9" customHeight="1">
      <c r="A39" s="975"/>
      <c r="C39" s="47"/>
      <c r="D39" s="28"/>
      <c r="E39" s="604"/>
      <c r="F39" s="31"/>
      <c r="G39" s="39"/>
      <c r="I39" s="970"/>
      <c r="J39" s="970"/>
      <c r="K39" s="970"/>
      <c r="L39" s="970"/>
      <c r="M39" s="970"/>
      <c r="N39" s="970"/>
      <c r="O39" s="970"/>
      <c r="P39" s="970"/>
      <c r="Q39" s="970"/>
      <c r="R39" s="970"/>
      <c r="S39" s="970"/>
      <c r="T39" s="970"/>
      <c r="U39" s="970"/>
      <c r="V39" s="970"/>
      <c r="W39" s="970"/>
      <c r="X39" s="970"/>
      <c r="Y39" s="970"/>
    </row>
    <row r="40" spans="1:25" s="80" customFormat="1" ht="23.1" customHeight="1">
      <c r="A40" s="903"/>
      <c r="B40" s="970"/>
      <c r="C40" s="935"/>
      <c r="D40" s="1132" t="s">
        <v>356</v>
      </c>
      <c r="E40" s="1022" t="s">
        <v>959</v>
      </c>
      <c r="F40" s="1133">
        <f>'_FC-90_DETALLE'!H91</f>
        <v>397280.31</v>
      </c>
      <c r="G40" s="936"/>
      <c r="H40" s="970"/>
      <c r="I40" s="970"/>
      <c r="J40" s="970"/>
      <c r="K40" s="970"/>
      <c r="L40" s="970"/>
      <c r="M40" s="970"/>
      <c r="N40" s="970"/>
      <c r="O40" s="970"/>
      <c r="P40" s="970"/>
      <c r="Q40" s="970"/>
      <c r="R40" s="970"/>
      <c r="S40" s="970"/>
      <c r="T40" s="970"/>
      <c r="U40" s="970"/>
      <c r="V40" s="970"/>
      <c r="W40" s="970"/>
      <c r="X40" s="970"/>
      <c r="Y40" s="970"/>
    </row>
    <row r="41" spans="1:25" s="80" customFormat="1" ht="23.1" customHeight="1">
      <c r="A41" s="903"/>
      <c r="B41" s="970"/>
      <c r="C41" s="935"/>
      <c r="D41" s="1127" t="s">
        <v>358</v>
      </c>
      <c r="E41" s="739" t="s">
        <v>960</v>
      </c>
      <c r="F41" s="1123">
        <f>'_FC-90_DETALLE'!H96</f>
        <v>676179.62</v>
      </c>
      <c r="G41" s="936"/>
      <c r="H41" s="970"/>
      <c r="I41" s="970"/>
      <c r="J41" s="970"/>
      <c r="K41" s="970"/>
      <c r="L41" s="970"/>
      <c r="M41" s="970"/>
      <c r="N41" s="970"/>
      <c r="O41" s="970"/>
      <c r="P41" s="970"/>
      <c r="Q41" s="970"/>
      <c r="R41" s="970"/>
      <c r="S41" s="970"/>
      <c r="T41" s="970"/>
      <c r="U41" s="970"/>
      <c r="V41" s="970"/>
      <c r="W41" s="970"/>
      <c r="X41" s="970"/>
      <c r="Y41" s="970"/>
    </row>
    <row r="42" spans="1:25" s="80" customFormat="1" ht="23.1" customHeight="1">
      <c r="A42" s="903"/>
      <c r="B42" s="970"/>
      <c r="C42" s="935"/>
      <c r="D42" s="1127" t="s">
        <v>360</v>
      </c>
      <c r="E42" s="739" t="s">
        <v>961</v>
      </c>
      <c r="F42" s="1123">
        <f>'_FC-90_DETALLE'!H103</f>
        <v>0</v>
      </c>
      <c r="G42" s="936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0"/>
      <c r="Y42" s="970"/>
    </row>
    <row r="43" spans="1:25" s="80" customFormat="1" ht="23.1" customHeight="1">
      <c r="A43" s="903"/>
      <c r="B43" s="970"/>
      <c r="C43" s="935"/>
      <c r="D43" s="1127" t="s">
        <v>362</v>
      </c>
      <c r="E43" s="739" t="s">
        <v>962</v>
      </c>
      <c r="F43" s="1123">
        <f>'_FC-90_DETALLE'!H109</f>
        <v>0</v>
      </c>
      <c r="G43" s="936"/>
      <c r="H43" s="970"/>
      <c r="I43" s="970"/>
      <c r="J43" s="970"/>
      <c r="K43" s="970"/>
      <c r="L43" s="970"/>
      <c r="M43" s="970"/>
      <c r="N43" s="970"/>
      <c r="O43" s="970"/>
      <c r="P43" s="970"/>
      <c r="Q43" s="970"/>
      <c r="R43" s="970"/>
      <c r="S43" s="970"/>
      <c r="T43" s="970"/>
      <c r="U43" s="970"/>
      <c r="V43" s="970"/>
      <c r="W43" s="970"/>
      <c r="X43" s="970"/>
      <c r="Y43" s="970"/>
    </row>
    <row r="44" spans="1:25" s="80" customFormat="1" ht="23.1" customHeight="1">
      <c r="A44" s="903"/>
      <c r="B44" s="970"/>
      <c r="C44" s="935"/>
      <c r="D44" s="1258" t="s">
        <v>963</v>
      </c>
      <c r="E44" s="1259"/>
      <c r="F44" s="154">
        <f>SUM(F40:F43)</f>
        <v>1073459.93</v>
      </c>
      <c r="G44" s="936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0"/>
      <c r="X44" s="970"/>
      <c r="Y44" s="970"/>
    </row>
    <row r="45" spans="1:25" s="80" customFormat="1" ht="9" customHeight="1">
      <c r="A45" s="903"/>
      <c r="B45" s="970"/>
      <c r="C45" s="935"/>
      <c r="D45" s="8"/>
      <c r="E45" s="604"/>
      <c r="F45" s="57"/>
      <c r="G45" s="936"/>
      <c r="H45" s="970"/>
      <c r="I45" s="970"/>
      <c r="J45" s="970"/>
      <c r="K45" s="970"/>
      <c r="L45" s="970"/>
      <c r="M45" s="970"/>
      <c r="N45" s="970"/>
      <c r="O45" s="970"/>
      <c r="P45" s="970"/>
      <c r="Q45" s="970"/>
      <c r="R45" s="970"/>
      <c r="S45" s="970"/>
      <c r="T45" s="970"/>
      <c r="U45" s="970"/>
      <c r="V45" s="970"/>
      <c r="W45" s="970"/>
      <c r="X45" s="970"/>
      <c r="Y45" s="970"/>
    </row>
    <row r="46" spans="1:25" s="80" customFormat="1" ht="23.1" customHeight="1">
      <c r="A46" s="903"/>
      <c r="B46" s="970"/>
      <c r="C46" s="935"/>
      <c r="D46" s="1132" t="s">
        <v>366</v>
      </c>
      <c r="E46" s="1022" t="s">
        <v>964</v>
      </c>
      <c r="F46" s="1133">
        <f>'_FC-90_DETALLE'!H115</f>
        <v>10000</v>
      </c>
      <c r="G46" s="936"/>
      <c r="H46" s="970"/>
      <c r="I46" s="970"/>
      <c r="J46" s="970"/>
      <c r="K46" s="970"/>
      <c r="L46" s="970"/>
      <c r="M46" s="970"/>
      <c r="N46" s="970"/>
      <c r="O46" s="970"/>
      <c r="P46" s="970"/>
      <c r="Q46" s="970"/>
      <c r="R46" s="970"/>
      <c r="S46" s="970"/>
      <c r="T46" s="970"/>
      <c r="U46" s="970"/>
      <c r="V46" s="970"/>
      <c r="W46" s="970"/>
      <c r="X46" s="970"/>
      <c r="Y46" s="970"/>
    </row>
    <row r="47" spans="1:25" s="80" customFormat="1" ht="23.1" customHeight="1">
      <c r="A47" s="903"/>
      <c r="B47" s="970"/>
      <c r="C47" s="935"/>
      <c r="D47" s="1127" t="s">
        <v>368</v>
      </c>
      <c r="E47" s="739" t="s">
        <v>949</v>
      </c>
      <c r="F47" s="1123">
        <f>'_FC-90_DETALLE'!H120</f>
        <v>0</v>
      </c>
      <c r="G47" s="936"/>
      <c r="H47" s="970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</row>
    <row r="48" spans="1:25" s="80" customFormat="1" ht="23.1" customHeight="1">
      <c r="A48" s="903"/>
      <c r="B48" s="970"/>
      <c r="C48" s="935"/>
      <c r="D48" s="1258" t="s">
        <v>965</v>
      </c>
      <c r="E48" s="1259"/>
      <c r="F48" s="154">
        <f>SUM(F46:F47)</f>
        <v>10000</v>
      </c>
      <c r="G48" s="936"/>
      <c r="H48" s="970"/>
      <c r="I48" s="970"/>
      <c r="J48" s="970"/>
      <c r="K48" s="970"/>
      <c r="L48" s="970"/>
      <c r="M48" s="970"/>
      <c r="N48" s="970"/>
      <c r="O48" s="970"/>
      <c r="P48" s="970"/>
      <c r="Q48" s="970"/>
      <c r="R48" s="970"/>
      <c r="S48" s="970"/>
      <c r="T48" s="970"/>
      <c r="U48" s="970"/>
      <c r="V48" s="970"/>
      <c r="W48" s="970"/>
      <c r="X48" s="970"/>
      <c r="Y48" s="970"/>
    </row>
    <row r="49" spans="1:25" s="80" customFormat="1" ht="9" customHeight="1">
      <c r="A49" s="903"/>
      <c r="B49" s="970"/>
      <c r="C49" s="935"/>
      <c r="D49" s="8"/>
      <c r="E49" s="604"/>
      <c r="F49" s="57"/>
      <c r="G49" s="936"/>
      <c r="H49" s="970"/>
      <c r="I49" s="970"/>
      <c r="J49" s="970"/>
      <c r="K49" s="970"/>
      <c r="L49" s="970"/>
      <c r="M49" s="970"/>
      <c r="N49" s="970"/>
      <c r="O49" s="970"/>
      <c r="P49" s="970"/>
      <c r="Q49" s="970"/>
      <c r="R49" s="970"/>
      <c r="S49" s="970"/>
      <c r="T49" s="970"/>
      <c r="U49" s="970"/>
      <c r="V49" s="970"/>
      <c r="W49" s="970"/>
      <c r="X49" s="970"/>
      <c r="Y49" s="970"/>
    </row>
    <row r="50" spans="1:25" s="80" customFormat="1" ht="23.1" customHeight="1">
      <c r="A50" s="903"/>
      <c r="B50" s="970"/>
      <c r="C50" s="935"/>
      <c r="D50" s="1132" t="s">
        <v>951</v>
      </c>
      <c r="E50" s="1022" t="s">
        <v>952</v>
      </c>
      <c r="F50" s="1133">
        <f>'_FC-90_DETALLE'!H126</f>
        <v>0</v>
      </c>
      <c r="G50" s="936"/>
      <c r="H50" s="970"/>
      <c r="I50" s="970"/>
      <c r="J50" s="970"/>
      <c r="K50" s="970"/>
      <c r="L50" s="970"/>
      <c r="M50" s="970"/>
      <c r="N50" s="970"/>
      <c r="O50" s="970"/>
      <c r="P50" s="970"/>
      <c r="Q50" s="970"/>
      <c r="R50" s="970"/>
      <c r="S50" s="970"/>
      <c r="T50" s="970"/>
      <c r="U50" s="970"/>
      <c r="V50" s="970"/>
      <c r="W50" s="970"/>
      <c r="X50" s="970"/>
      <c r="Y50" s="970"/>
    </row>
    <row r="51" spans="1:25" s="80" customFormat="1" ht="23.1" customHeight="1">
      <c r="A51" s="903"/>
      <c r="B51" s="970"/>
      <c r="C51" s="935"/>
      <c r="D51" s="1127" t="s">
        <v>953</v>
      </c>
      <c r="E51" s="739" t="s">
        <v>954</v>
      </c>
      <c r="F51" s="1123">
        <f>'_FC-90_DETALLE'!H133</f>
        <v>0</v>
      </c>
      <c r="G51" s="936"/>
      <c r="H51" s="970"/>
      <c r="I51" s="970"/>
      <c r="J51" s="970"/>
      <c r="K51" s="970"/>
      <c r="L51" s="970"/>
      <c r="M51" s="970"/>
      <c r="N51" s="970"/>
      <c r="O51" s="970"/>
      <c r="P51" s="970"/>
      <c r="Q51" s="970"/>
      <c r="R51" s="970"/>
      <c r="S51" s="970"/>
      <c r="T51" s="970"/>
      <c r="U51" s="970"/>
      <c r="V51" s="970"/>
      <c r="W51" s="970"/>
      <c r="X51" s="970"/>
      <c r="Y51" s="970"/>
    </row>
    <row r="52" spans="1:25" s="80" customFormat="1" ht="23.1" customHeight="1">
      <c r="A52" s="903"/>
      <c r="B52" s="970"/>
      <c r="C52" s="935"/>
      <c r="D52" s="1258" t="s">
        <v>966</v>
      </c>
      <c r="E52" s="1259"/>
      <c r="F52" s="154">
        <f>SUM(F50:F51)</f>
        <v>0</v>
      </c>
      <c r="G52" s="936"/>
      <c r="H52" s="970"/>
      <c r="I52" s="970"/>
      <c r="J52" s="970"/>
      <c r="K52" s="970"/>
      <c r="L52" s="970"/>
      <c r="M52" s="970"/>
      <c r="N52" s="970"/>
      <c r="O52" s="970"/>
      <c r="P52" s="970"/>
      <c r="Q52" s="970"/>
      <c r="R52" s="970"/>
      <c r="S52" s="970"/>
      <c r="T52" s="970"/>
      <c r="U52" s="970"/>
      <c r="V52" s="970"/>
      <c r="W52" s="970"/>
      <c r="X52" s="970"/>
      <c r="Y52" s="970"/>
    </row>
    <row r="53" spans="1:25" s="80" customFormat="1" ht="23.1" customHeight="1">
      <c r="A53" s="903"/>
      <c r="B53" s="970"/>
      <c r="C53" s="935"/>
      <c r="D53" s="604"/>
      <c r="E53" s="632"/>
      <c r="F53" s="458"/>
      <c r="G53" s="936"/>
      <c r="H53" s="970"/>
      <c r="I53" s="970"/>
      <c r="J53" s="970"/>
      <c r="K53" s="970"/>
      <c r="L53" s="970"/>
      <c r="M53" s="970"/>
      <c r="N53" s="970"/>
      <c r="O53" s="970"/>
      <c r="P53" s="970"/>
      <c r="Q53" s="970"/>
      <c r="R53" s="970"/>
      <c r="S53" s="970"/>
      <c r="T53" s="970"/>
      <c r="U53" s="970"/>
      <c r="V53" s="970"/>
      <c r="W53" s="970"/>
      <c r="X53" s="970"/>
      <c r="Y53" s="970"/>
    </row>
    <row r="54" spans="1:25" s="132" customFormat="1" ht="23.1" customHeight="1" thickBot="1">
      <c r="A54" s="903"/>
      <c r="C54" s="42"/>
      <c r="D54" s="1263" t="s">
        <v>967</v>
      </c>
      <c r="E54" s="1264"/>
      <c r="F54" s="159">
        <f>F44+F48+F52</f>
        <v>1083459.93</v>
      </c>
      <c r="G54" s="45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70"/>
      <c r="V54" s="970"/>
      <c r="W54" s="970"/>
      <c r="X54" s="970"/>
      <c r="Y54" s="970"/>
    </row>
    <row r="55" spans="1:25" s="80" customFormat="1" ht="9" customHeight="1">
      <c r="A55" s="903"/>
      <c r="B55" s="970"/>
      <c r="C55" s="935"/>
      <c r="D55" s="8"/>
      <c r="E55" s="604"/>
      <c r="F55" s="57"/>
      <c r="G55" s="936"/>
      <c r="H55" s="970"/>
      <c r="I55" s="970"/>
      <c r="J55" s="970"/>
      <c r="K55" s="970"/>
      <c r="L55" s="970"/>
      <c r="M55" s="970"/>
      <c r="N55" s="970"/>
      <c r="O55" s="970"/>
      <c r="P55" s="970"/>
      <c r="Q55" s="970"/>
      <c r="R55" s="970"/>
      <c r="S55" s="970"/>
      <c r="T55" s="970"/>
      <c r="U55" s="970"/>
      <c r="V55" s="970"/>
      <c r="W55" s="970"/>
      <c r="X55" s="970"/>
      <c r="Y55" s="970"/>
    </row>
    <row r="56" spans="1:25" s="80" customFormat="1" ht="23.1" customHeight="1">
      <c r="A56" s="903"/>
      <c r="B56" s="970"/>
      <c r="C56" s="935"/>
      <c r="D56" s="1258" t="s">
        <v>968</v>
      </c>
      <c r="E56" s="1259"/>
      <c r="F56" s="154">
        <f>+'_FC-90_DETALLE'!H149</f>
        <v>14060.09</v>
      </c>
      <c r="G56" s="936"/>
      <c r="H56" s="970"/>
      <c r="I56" s="970"/>
      <c r="J56" s="970"/>
      <c r="K56" s="970"/>
      <c r="L56" s="970"/>
      <c r="M56" s="970"/>
      <c r="N56" s="970"/>
      <c r="O56" s="970"/>
      <c r="P56" s="970"/>
      <c r="Q56" s="970"/>
      <c r="R56" s="970"/>
      <c r="S56" s="970"/>
      <c r="T56" s="970"/>
      <c r="U56" s="970"/>
      <c r="V56" s="970"/>
      <c r="W56" s="970"/>
      <c r="X56" s="970"/>
      <c r="Y56" s="970"/>
    </row>
    <row r="57" spans="1:25" s="80" customFormat="1" ht="9" customHeight="1">
      <c r="A57" s="903"/>
      <c r="B57" s="970"/>
      <c r="C57" s="935"/>
      <c r="D57" s="8"/>
      <c r="E57" s="604"/>
      <c r="F57" s="57"/>
      <c r="G57" s="936"/>
      <c r="H57" s="970"/>
      <c r="I57" s="970"/>
      <c r="J57" s="970"/>
      <c r="K57" s="970"/>
      <c r="L57" s="970"/>
      <c r="M57" s="970"/>
      <c r="N57" s="970"/>
      <c r="O57" s="970"/>
      <c r="P57" s="970"/>
      <c r="Q57" s="970"/>
      <c r="R57" s="970"/>
      <c r="S57" s="970"/>
      <c r="T57" s="970"/>
      <c r="U57" s="970"/>
      <c r="V57" s="970"/>
      <c r="W57" s="970"/>
      <c r="X57" s="970"/>
      <c r="Y57" s="970"/>
    </row>
    <row r="58" spans="1:25" s="80" customFormat="1" ht="23.1" customHeight="1" thickBot="1">
      <c r="A58" s="903"/>
      <c r="B58" s="970"/>
      <c r="C58" s="935"/>
      <c r="D58" s="1263" t="s">
        <v>967</v>
      </c>
      <c r="E58" s="1264"/>
      <c r="F58" s="159">
        <f>+F54+F56</f>
        <v>1097520.02</v>
      </c>
      <c r="G58" s="936"/>
      <c r="H58" s="970"/>
      <c r="I58" s="970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s="80" customFormat="1" ht="9" customHeight="1">
      <c r="A59" s="903"/>
      <c r="B59" s="970"/>
      <c r="C59" s="935"/>
      <c r="D59" s="8"/>
      <c r="E59" s="604"/>
      <c r="F59" s="57"/>
      <c r="G59" s="936"/>
      <c r="H59" s="97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s="80" customFormat="1" ht="23.1" customHeight="1" thickBot="1">
      <c r="A60" s="903"/>
      <c r="B60" s="970"/>
      <c r="C60" s="935"/>
      <c r="D60" s="605" t="s">
        <v>969</v>
      </c>
      <c r="E60" s="606"/>
      <c r="F60" s="607">
        <f>+F35-F58</f>
        <v>-89380.000000000116</v>
      </c>
      <c r="G60" s="936"/>
      <c r="H60" s="97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s="80" customFormat="1" ht="9" customHeight="1" thickTop="1">
      <c r="A61" s="975"/>
      <c r="B61" s="970"/>
      <c r="C61" s="935"/>
      <c r="D61" s="8"/>
      <c r="E61" s="604"/>
      <c r="F61" s="57"/>
      <c r="G61" s="936"/>
      <c r="H61" s="97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s="80" customFormat="1" ht="23.1" customHeight="1" thickBot="1">
      <c r="A62" s="975"/>
      <c r="B62" s="970"/>
      <c r="C62" s="935"/>
      <c r="D62" s="605" t="s">
        <v>970</v>
      </c>
      <c r="E62" s="606"/>
      <c r="F62" s="607">
        <f>+'_FC-90_DETALLE'!H162</f>
        <v>89379.999999999985</v>
      </c>
      <c r="G62" s="936"/>
      <c r="H62" s="97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s="80" customFormat="1" ht="9" customHeight="1" thickTop="1">
      <c r="A63" s="975"/>
      <c r="B63" s="970"/>
      <c r="C63" s="935"/>
      <c r="D63" s="8"/>
      <c r="E63" s="604"/>
      <c r="F63" s="57"/>
      <c r="G63" s="936"/>
      <c r="H63" s="970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s="80" customFormat="1" ht="23.1" customHeight="1" thickBot="1">
      <c r="A64" s="975"/>
      <c r="B64" s="970"/>
      <c r="C64" s="935"/>
      <c r="D64" s="605" t="s">
        <v>971</v>
      </c>
      <c r="E64" s="606"/>
      <c r="F64" s="607">
        <f>+F60+F62</f>
        <v>-1.3096723705530167E-10</v>
      </c>
      <c r="G64" s="936"/>
      <c r="H64" s="97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8" ht="23.1" customHeight="1" thickTop="1" thickBot="1">
      <c r="A65" s="975"/>
      <c r="C65" s="50"/>
      <c r="D65" s="1148"/>
      <c r="E65" s="1148"/>
      <c r="F65" s="51"/>
      <c r="G65" s="52"/>
    </row>
    <row r="66" spans="1:8" ht="23.1" customHeight="1">
      <c r="A66" s="24"/>
      <c r="H66" s="32" t="s">
        <v>140</v>
      </c>
    </row>
    <row r="67" spans="1:8" ht="12.75">
      <c r="A67" s="24"/>
      <c r="D67" s="53" t="s">
        <v>39</v>
      </c>
      <c r="F67" s="30" t="s">
        <v>972</v>
      </c>
    </row>
    <row r="68" spans="1:8" ht="12.75">
      <c r="A68" s="24"/>
      <c r="D68" s="53" t="s">
        <v>41</v>
      </c>
    </row>
    <row r="69" spans="1:8" ht="12.75">
      <c r="A69" s="24"/>
      <c r="D69" s="53" t="s">
        <v>42</v>
      </c>
    </row>
    <row r="70" spans="1:8" ht="15">
      <c r="A70" s="369"/>
      <c r="D70" s="53" t="s">
        <v>43</v>
      </c>
    </row>
    <row r="71" spans="1:8" ht="15">
      <c r="A71" s="369"/>
      <c r="D71" s="53" t="s">
        <v>44</v>
      </c>
    </row>
    <row r="72" spans="1:8" ht="23.1" customHeight="1">
      <c r="A72" s="369"/>
    </row>
    <row r="73" spans="1:8" ht="23.1" customHeight="1">
      <c r="A73" s="369"/>
    </row>
    <row r="74" spans="1:8" ht="23.1" customHeight="1">
      <c r="A74" s="369"/>
    </row>
    <row r="75" spans="1:8" ht="23.1" customHeight="1">
      <c r="A75" s="369"/>
    </row>
    <row r="76" spans="1:8" ht="23.1" customHeight="1">
      <c r="A76" s="369"/>
    </row>
  </sheetData>
  <sheetProtection password="C494" sheet="1" objects="1" scenarios="1"/>
  <mergeCells count="17">
    <mergeCell ref="D48:E48"/>
    <mergeCell ref="D52:E52"/>
    <mergeCell ref="D54:E54"/>
    <mergeCell ref="D65:E65"/>
    <mergeCell ref="D29:E29"/>
    <mergeCell ref="D31:E31"/>
    <mergeCell ref="D38:E38"/>
    <mergeCell ref="D44:E44"/>
    <mergeCell ref="D33:E33"/>
    <mergeCell ref="D35:E35"/>
    <mergeCell ref="D56:E56"/>
    <mergeCell ref="D58:E58"/>
    <mergeCell ref="D25:E25"/>
    <mergeCell ref="F6:F7"/>
    <mergeCell ref="E9:F9"/>
    <mergeCell ref="D14:E14"/>
    <mergeCell ref="D21:E21"/>
  </mergeCells>
  <phoneticPr fontId="16" type="noConversion"/>
  <printOptions horizontalCentered="1" verticalCentered="1"/>
  <pageMargins left="0.36000000000000004" right="0.36000000000000004" top="0.6100000000000001" bottom="0.6100000000000001" header="0.5" footer="0.5"/>
  <pageSetup paperSize="9" scale="6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tabColor rgb="FFFF0000"/>
  </sheetPr>
  <dimension ref="B1:M234"/>
  <sheetViews>
    <sheetView workbookViewId="0">
      <pane xSplit="4" ySplit="14" topLeftCell="E18" activePane="bottomRight" state="frozen"/>
      <selection pane="topRight" activeCell="K214" sqref="K214"/>
      <selection pane="bottomLeft" activeCell="K214" sqref="K214"/>
      <selection pane="bottomRight" activeCell="F68" sqref="F68"/>
    </sheetView>
  </sheetViews>
  <sheetFormatPr baseColWidth="10" defaultColWidth="10.6640625" defaultRowHeight="23.1" customHeight="1"/>
  <cols>
    <col min="1" max="2" width="3.109375" style="33" customWidth="1"/>
    <col min="3" max="3" width="13.109375" style="33" customWidth="1"/>
    <col min="4" max="4" width="88.109375" style="33" customWidth="1"/>
    <col min="5" max="7" width="21.6640625" style="391" customWidth="1"/>
    <col min="8" max="8" width="21.6640625" style="33" customWidth="1"/>
    <col min="9" max="9" width="3.33203125" style="33" customWidth="1"/>
    <col min="10" max="10" width="10" style="33" customWidth="1"/>
    <col min="11" max="11" width="62" style="33" customWidth="1"/>
    <col min="12" max="16384" width="10.6640625" style="33"/>
  </cols>
  <sheetData>
    <row r="1" spans="2:11" ht="33" customHeight="1"/>
    <row r="2" spans="2:11" ht="29.1" customHeight="1">
      <c r="D2" s="347" t="str">
        <f>_GENERAL!D2</f>
        <v>Área de Presidencia, Hacienda y Modernización</v>
      </c>
      <c r="E2" s="393"/>
      <c r="F2" s="393"/>
      <c r="G2" s="393"/>
    </row>
    <row r="3" spans="2:11" ht="29.1" customHeight="1">
      <c r="D3" s="347" t="str">
        <f>_GENERAL!D3</f>
        <v>Dirección Insular de Hacienda</v>
      </c>
      <c r="E3" s="393"/>
      <c r="F3" s="393"/>
      <c r="G3" s="393"/>
    </row>
    <row r="4" spans="2:11" ht="18" customHeight="1" thickBot="1"/>
    <row r="5" spans="2:11" ht="12.75">
      <c r="B5" s="394"/>
      <c r="C5" s="36"/>
      <c r="D5" s="36"/>
      <c r="E5" s="395"/>
      <c r="F5" s="395"/>
      <c r="G5" s="395"/>
      <c r="H5" s="36"/>
      <c r="I5" s="396"/>
    </row>
    <row r="6" spans="2:11" ht="15.75">
      <c r="B6" s="397"/>
      <c r="C6" s="398" t="s">
        <v>2</v>
      </c>
      <c r="H6" s="1270">
        <f>ejercicio</f>
        <v>2022</v>
      </c>
      <c r="I6" s="399"/>
    </row>
    <row r="7" spans="2:11" ht="15.75">
      <c r="B7" s="397"/>
      <c r="C7" s="398" t="s">
        <v>3</v>
      </c>
      <c r="H7" s="1270"/>
      <c r="I7" s="399"/>
    </row>
    <row r="8" spans="2:11" ht="12.75">
      <c r="B8" s="397"/>
      <c r="C8" s="400"/>
      <c r="H8" s="41"/>
      <c r="I8" s="399"/>
    </row>
    <row r="9" spans="2:11" s="404" customFormat="1" ht="21.95" customHeight="1">
      <c r="B9" s="401"/>
      <c r="C9" s="402" t="s">
        <v>47</v>
      </c>
      <c r="D9" s="1271" t="str">
        <f>Entidad</f>
        <v>FUNDACION CANARIA TENERIFE RURAL</v>
      </c>
      <c r="E9" s="1271"/>
      <c r="F9" s="1271"/>
      <c r="G9" s="1271"/>
      <c r="H9" s="1271"/>
      <c r="I9" s="403"/>
    </row>
    <row r="10" spans="2:11" ht="12.75">
      <c r="B10" s="397"/>
      <c r="I10" s="399"/>
    </row>
    <row r="11" spans="2:11" s="31" customFormat="1" ht="27" customHeight="1">
      <c r="B11" s="405"/>
      <c r="C11" s="44" t="s">
        <v>940</v>
      </c>
      <c r="D11" s="44"/>
      <c r="E11" s="406"/>
      <c r="F11" s="406"/>
      <c r="G11" s="406"/>
      <c r="H11" s="44"/>
      <c r="I11" s="407"/>
    </row>
    <row r="12" spans="2:11" s="31" customFormat="1" ht="18">
      <c r="B12" s="405"/>
      <c r="C12" s="703" t="str">
        <f>IF(_GENERAL!D15&lt;&gt;"Íntegra","No aplica a entidades con participación del Cabildo no íntegra","")</f>
        <v>No aplica a entidades con participación del Cabildo no íntegra</v>
      </c>
      <c r="D12" s="703"/>
      <c r="E12" s="393"/>
      <c r="F12" s="393"/>
      <c r="G12" s="393"/>
      <c r="I12" s="407"/>
    </row>
    <row r="13" spans="2:11" ht="18">
      <c r="B13" s="408"/>
      <c r="C13" s="409"/>
      <c r="D13" s="409"/>
      <c r="E13" s="393"/>
      <c r="F13" s="393"/>
      <c r="G13" s="393"/>
      <c r="H13" s="31"/>
      <c r="I13" s="399"/>
    </row>
    <row r="14" spans="2:11" s="413" customFormat="1" ht="23.25">
      <c r="B14" s="410"/>
      <c r="C14" s="1272" t="s">
        <v>941</v>
      </c>
      <c r="D14" s="1273"/>
      <c r="E14" s="411" t="s">
        <v>973</v>
      </c>
      <c r="F14" s="411" t="s">
        <v>974</v>
      </c>
      <c r="G14" s="411" t="s">
        <v>975</v>
      </c>
      <c r="H14" s="227" t="s">
        <v>976</v>
      </c>
      <c r="I14" s="412"/>
      <c r="K14" s="227" t="s">
        <v>977</v>
      </c>
    </row>
    <row r="15" spans="2:11" ht="18">
      <c r="B15" s="408"/>
      <c r="C15" s="414"/>
      <c r="D15" s="409"/>
      <c r="E15" s="393"/>
      <c r="F15" s="393"/>
      <c r="G15" s="393"/>
      <c r="H15" s="31"/>
      <c r="I15" s="399"/>
    </row>
    <row r="16" spans="2:11" s="420" customFormat="1" ht="30" customHeight="1">
      <c r="B16" s="415"/>
      <c r="C16" s="416" t="s">
        <v>356</v>
      </c>
      <c r="D16" s="140" t="s">
        <v>942</v>
      </c>
      <c r="E16" s="417">
        <v>0</v>
      </c>
      <c r="F16" s="417">
        <v>0</v>
      </c>
      <c r="G16" s="417">
        <v>0</v>
      </c>
      <c r="H16" s="418">
        <f>SUM(E16:G16)</f>
        <v>0</v>
      </c>
      <c r="I16" s="419"/>
      <c r="K16" s="530"/>
    </row>
    <row r="17" spans="2:12" s="420" customFormat="1" ht="18">
      <c r="B17" s="415"/>
      <c r="C17" s="416" t="s">
        <v>358</v>
      </c>
      <c r="D17" s="140" t="s">
        <v>943</v>
      </c>
      <c r="E17" s="417">
        <v>0</v>
      </c>
      <c r="F17" s="417">
        <v>0</v>
      </c>
      <c r="G17" s="417">
        <v>0</v>
      </c>
      <c r="H17" s="418">
        <f>SUM(E17:G17)</f>
        <v>0</v>
      </c>
      <c r="I17" s="419"/>
      <c r="K17" s="530"/>
    </row>
    <row r="18" spans="2:12" s="420" customFormat="1" ht="18">
      <c r="B18" s="415"/>
      <c r="C18" s="416" t="s">
        <v>360</v>
      </c>
      <c r="D18" s="140" t="s">
        <v>944</v>
      </c>
      <c r="E18" s="417">
        <f>SUM(E19:E29)</f>
        <v>365560</v>
      </c>
      <c r="F18" s="417">
        <f>SUM(F19:F29)</f>
        <v>0</v>
      </c>
      <c r="G18" s="417">
        <f>SUM(G19:G29)</f>
        <v>0</v>
      </c>
      <c r="H18" s="417">
        <f>SUM(H19:H29)</f>
        <v>365560</v>
      </c>
      <c r="I18" s="419"/>
      <c r="K18" s="530"/>
    </row>
    <row r="19" spans="2:12" s="111" customFormat="1" ht="18" hidden="1">
      <c r="B19" s="408"/>
      <c r="C19" s="421" t="s">
        <v>287</v>
      </c>
      <c r="D19" s="422" t="s">
        <v>978</v>
      </c>
      <c r="E19" s="602">
        <f>'FC-3_CPyG'!I22</f>
        <v>320000</v>
      </c>
      <c r="F19" s="424"/>
      <c r="G19" s="516"/>
      <c r="H19" s="425">
        <f t="shared" ref="H19:H29" si="0">SUM(E19:G19)</f>
        <v>320000</v>
      </c>
      <c r="I19" s="426"/>
      <c r="K19" s="530"/>
    </row>
    <row r="20" spans="2:12" s="111" customFormat="1" ht="18" hidden="1">
      <c r="B20" s="408"/>
      <c r="C20" s="421" t="s">
        <v>287</v>
      </c>
      <c r="D20" s="422" t="s">
        <v>979</v>
      </c>
      <c r="E20" s="602">
        <f>'FC-3_CPyG'!I17</f>
        <v>1660</v>
      </c>
      <c r="F20" s="424"/>
      <c r="G20" s="516"/>
      <c r="H20" s="425">
        <f t="shared" si="0"/>
        <v>1660</v>
      </c>
      <c r="I20" s="426"/>
      <c r="K20" s="530"/>
    </row>
    <row r="21" spans="2:12" s="111" customFormat="1" ht="18" hidden="1">
      <c r="B21" s="408"/>
      <c r="C21" s="421" t="s">
        <v>287</v>
      </c>
      <c r="D21" s="422" t="s">
        <v>195</v>
      </c>
      <c r="E21" s="602">
        <f>'FC-3_CPyG'!I18</f>
        <v>0</v>
      </c>
      <c r="F21" s="424"/>
      <c r="G21" s="516"/>
      <c r="H21" s="425">
        <f t="shared" si="0"/>
        <v>0</v>
      </c>
      <c r="I21" s="426"/>
      <c r="K21" s="530"/>
    </row>
    <row r="22" spans="2:12" s="111" customFormat="1" ht="18" hidden="1">
      <c r="B22" s="408"/>
      <c r="C22" s="421" t="s">
        <v>287</v>
      </c>
      <c r="D22" s="422" t="s">
        <v>197</v>
      </c>
      <c r="E22" s="602">
        <f>'FC-3_CPyG'!I19</f>
        <v>41900</v>
      </c>
      <c r="F22" s="424"/>
      <c r="G22" s="516"/>
      <c r="H22" s="425">
        <f t="shared" si="0"/>
        <v>41900</v>
      </c>
      <c r="I22" s="426"/>
      <c r="K22" s="530"/>
    </row>
    <row r="23" spans="2:12" s="111" customFormat="1" ht="18" hidden="1">
      <c r="B23" s="408"/>
      <c r="C23" s="421" t="s">
        <v>287</v>
      </c>
      <c r="D23" s="422" t="s">
        <v>201</v>
      </c>
      <c r="E23" s="602">
        <f>'FC-3_CPyG'!I21</f>
        <v>0</v>
      </c>
      <c r="F23" s="424"/>
      <c r="G23" s="516"/>
      <c r="H23" s="425">
        <f t="shared" si="0"/>
        <v>0</v>
      </c>
      <c r="I23" s="426"/>
      <c r="K23" s="530"/>
    </row>
    <row r="24" spans="2:12" s="111" customFormat="1" ht="18" hidden="1">
      <c r="B24" s="408"/>
      <c r="C24" s="421" t="s">
        <v>351</v>
      </c>
      <c r="D24" s="422" t="s">
        <v>980</v>
      </c>
      <c r="E24" s="423">
        <f>'FC-3_1_INF_ADIC_CPyG'!H74</f>
        <v>0</v>
      </c>
      <c r="F24" s="424"/>
      <c r="G24" s="516"/>
      <c r="H24" s="425">
        <f t="shared" si="0"/>
        <v>0</v>
      </c>
      <c r="I24" s="426"/>
      <c r="K24" s="530"/>
    </row>
    <row r="25" spans="2:12" s="111" customFormat="1" ht="18" hidden="1">
      <c r="B25" s="408"/>
      <c r="C25" s="421" t="s">
        <v>351</v>
      </c>
      <c r="D25" s="422" t="s">
        <v>981</v>
      </c>
      <c r="E25" s="423">
        <f>'FC-3_1_INF_ADIC_CPyG'!H76</f>
        <v>2000</v>
      </c>
      <c r="F25" s="424"/>
      <c r="G25" s="516"/>
      <c r="H25" s="425">
        <f t="shared" si="0"/>
        <v>2000</v>
      </c>
      <c r="I25" s="426"/>
      <c r="K25" s="530"/>
    </row>
    <row r="26" spans="2:12" s="111" customFormat="1" ht="18" hidden="1">
      <c r="B26" s="408"/>
      <c r="C26" s="421" t="s">
        <v>351</v>
      </c>
      <c r="D26" s="422" t="s">
        <v>982</v>
      </c>
      <c r="E26" s="423">
        <f>'FC-3_1_INF_ADIC_CPyG'!H48</f>
        <v>0</v>
      </c>
      <c r="F26" s="424"/>
      <c r="G26" s="516"/>
      <c r="H26" s="425">
        <f t="shared" si="0"/>
        <v>0</v>
      </c>
      <c r="I26" s="426"/>
      <c r="K26" s="530"/>
    </row>
    <row r="27" spans="2:12" s="111" customFormat="1" ht="18" hidden="1">
      <c r="B27" s="408"/>
      <c r="C27" s="421"/>
      <c r="D27" s="422" t="s">
        <v>983</v>
      </c>
      <c r="E27" s="424"/>
      <c r="F27" s="424"/>
      <c r="G27" s="516"/>
      <c r="H27" s="425">
        <f t="shared" si="0"/>
        <v>0</v>
      </c>
      <c r="I27" s="426"/>
      <c r="K27" s="530"/>
      <c r="L27" s="427" t="s">
        <v>984</v>
      </c>
    </row>
    <row r="28" spans="2:12" s="111" customFormat="1" ht="18" hidden="1">
      <c r="B28" s="408"/>
      <c r="C28" s="525"/>
      <c r="D28" s="534"/>
      <c r="E28" s="424"/>
      <c r="F28" s="424"/>
      <c r="G28" s="516"/>
      <c r="H28" s="425">
        <f t="shared" si="0"/>
        <v>0</v>
      </c>
      <c r="I28" s="426"/>
      <c r="K28" s="530"/>
      <c r="L28" s="427"/>
    </row>
    <row r="29" spans="2:12" s="111" customFormat="1" ht="18" hidden="1">
      <c r="B29" s="408"/>
      <c r="C29" s="525"/>
      <c r="D29" s="534"/>
      <c r="E29" s="424"/>
      <c r="F29" s="424"/>
      <c r="G29" s="516"/>
      <c r="H29" s="425">
        <f t="shared" si="0"/>
        <v>0</v>
      </c>
      <c r="I29" s="426"/>
      <c r="K29" s="530"/>
      <c r="L29" s="427"/>
    </row>
    <row r="30" spans="2:12" s="420" customFormat="1" ht="18">
      <c r="B30" s="415"/>
      <c r="C30" s="416" t="s">
        <v>362</v>
      </c>
      <c r="D30" s="140" t="s">
        <v>945</v>
      </c>
      <c r="E30" s="417">
        <f>SUM(E31:E34)</f>
        <v>686160.19</v>
      </c>
      <c r="F30" s="417">
        <f>SUM(F31:F34)</f>
        <v>-80000</v>
      </c>
      <c r="G30" s="417">
        <f>SUM(G31:G34)</f>
        <v>0</v>
      </c>
      <c r="H30" s="417">
        <f>SUM(H31:H34)</f>
        <v>606160.18999999994</v>
      </c>
      <c r="I30" s="419"/>
      <c r="K30" s="530"/>
    </row>
    <row r="31" spans="2:12" s="111" customFormat="1" ht="18" hidden="1">
      <c r="B31" s="408"/>
      <c r="C31" s="421" t="s">
        <v>287</v>
      </c>
      <c r="D31" s="422" t="s">
        <v>985</v>
      </c>
      <c r="E31" s="423">
        <f>'FC-3_CPyG'!I20</f>
        <v>686160.19</v>
      </c>
      <c r="F31" s="424"/>
      <c r="G31" s="516"/>
      <c r="H31" s="425">
        <f>SUM(E31:G31)</f>
        <v>686160.19</v>
      </c>
      <c r="I31" s="426"/>
      <c r="K31" s="530"/>
    </row>
    <row r="32" spans="2:12" s="111" customFormat="1" ht="18" hidden="1">
      <c r="B32" s="408"/>
      <c r="C32" s="525" t="s">
        <v>672</v>
      </c>
      <c r="D32" s="437" t="s">
        <v>986</v>
      </c>
      <c r="E32" s="424"/>
      <c r="F32" s="438">
        <f>-'FC-10_DEUDAS'!P78</f>
        <v>-80000</v>
      </c>
      <c r="G32" s="516"/>
      <c r="H32" s="425">
        <f>SUM(E32:G32)</f>
        <v>-80000</v>
      </c>
      <c r="I32" s="426"/>
      <c r="K32" s="530"/>
      <c r="L32" s="427"/>
    </row>
    <row r="33" spans="2:12" s="111" customFormat="1" ht="18" hidden="1">
      <c r="B33" s="408"/>
      <c r="C33" s="525"/>
      <c r="D33" s="534"/>
      <c r="E33" s="424"/>
      <c r="F33" s="424"/>
      <c r="G33" s="516"/>
      <c r="H33" s="425">
        <f>SUM(E33:G33)</f>
        <v>0</v>
      </c>
      <c r="I33" s="426"/>
      <c r="K33" s="530"/>
      <c r="L33" s="427"/>
    </row>
    <row r="34" spans="2:12" s="111" customFormat="1" ht="18" hidden="1">
      <c r="B34" s="408"/>
      <c r="C34" s="527"/>
      <c r="D34" s="535"/>
      <c r="E34" s="424"/>
      <c r="F34" s="424"/>
      <c r="G34" s="517"/>
      <c r="H34" s="425">
        <f>SUM(E34:G34)</f>
        <v>0</v>
      </c>
      <c r="I34" s="426"/>
      <c r="K34" s="530"/>
    </row>
    <row r="35" spans="2:12" s="420" customFormat="1" ht="18">
      <c r="B35" s="415"/>
      <c r="C35" s="416" t="s">
        <v>364</v>
      </c>
      <c r="D35" s="140" t="s">
        <v>946</v>
      </c>
      <c r="E35" s="417">
        <f>SUM(E36:E42)</f>
        <v>32000</v>
      </c>
      <c r="F35" s="417">
        <f>SUM(F36:F42)</f>
        <v>0</v>
      </c>
      <c r="G35" s="417">
        <f>SUM(G36:G42)</f>
        <v>0</v>
      </c>
      <c r="H35" s="417">
        <f>SUM(H36:H42)</f>
        <v>32000</v>
      </c>
      <c r="I35" s="419"/>
      <c r="K35" s="530"/>
    </row>
    <row r="36" spans="2:12" s="111" customFormat="1" ht="18" hidden="1">
      <c r="B36" s="408"/>
      <c r="C36" s="428" t="s">
        <v>351</v>
      </c>
      <c r="D36" s="429" t="s">
        <v>987</v>
      </c>
      <c r="E36" s="430">
        <f>'FC-3_1_INF_ADIC_CPyG'!H75</f>
        <v>32000</v>
      </c>
      <c r="F36" s="424"/>
      <c r="G36" s="518"/>
      <c r="H36" s="425">
        <f>SUM(E36:G36)</f>
        <v>32000</v>
      </c>
      <c r="I36" s="426"/>
      <c r="K36" s="530"/>
    </row>
    <row r="37" spans="2:12" s="398" customFormat="1" ht="18" hidden="1">
      <c r="B37" s="431"/>
      <c r="C37" s="421" t="s">
        <v>287</v>
      </c>
      <c r="D37" s="422" t="s">
        <v>239</v>
      </c>
      <c r="E37" s="423">
        <f>'FC-3_CPyG'!I45</f>
        <v>0</v>
      </c>
      <c r="F37" s="424"/>
      <c r="G37" s="516"/>
      <c r="H37" s="425">
        <f t="shared" ref="H37:H42" si="1">SUM(E37:G37)</f>
        <v>0</v>
      </c>
      <c r="I37" s="432"/>
      <c r="K37" s="530"/>
    </row>
    <row r="38" spans="2:12" s="398" customFormat="1" ht="18" hidden="1">
      <c r="B38" s="431"/>
      <c r="C38" s="421"/>
      <c r="D38" s="422"/>
      <c r="E38" s="424"/>
      <c r="F38" s="424"/>
      <c r="G38" s="516"/>
      <c r="H38" s="425">
        <f t="shared" si="1"/>
        <v>0</v>
      </c>
      <c r="I38" s="432"/>
      <c r="K38" s="530"/>
    </row>
    <row r="39" spans="2:12" s="398" customFormat="1" ht="18" hidden="1">
      <c r="B39" s="431"/>
      <c r="C39" s="421"/>
      <c r="D39" s="422"/>
      <c r="E39" s="424"/>
      <c r="F39" s="424"/>
      <c r="G39" s="516"/>
      <c r="H39" s="425">
        <f t="shared" si="1"/>
        <v>0</v>
      </c>
      <c r="I39" s="432"/>
      <c r="K39" s="530"/>
    </row>
    <row r="40" spans="2:12" s="398" customFormat="1" ht="18" hidden="1">
      <c r="B40" s="431"/>
      <c r="C40" s="421"/>
      <c r="D40" s="422"/>
      <c r="E40" s="424"/>
      <c r="F40" s="424"/>
      <c r="G40" s="516"/>
      <c r="H40" s="425">
        <f t="shared" si="1"/>
        <v>0</v>
      </c>
      <c r="I40" s="432"/>
      <c r="K40" s="530"/>
    </row>
    <row r="41" spans="2:12" s="398" customFormat="1" ht="18" hidden="1">
      <c r="B41" s="431"/>
      <c r="C41" s="525"/>
      <c r="D41" s="534"/>
      <c r="E41" s="424"/>
      <c r="F41" s="424"/>
      <c r="G41" s="516"/>
      <c r="H41" s="425">
        <f t="shared" si="1"/>
        <v>0</v>
      </c>
      <c r="I41" s="432"/>
      <c r="K41" s="530"/>
    </row>
    <row r="42" spans="2:12" s="398" customFormat="1" ht="18">
      <c r="B42" s="431"/>
      <c r="C42" s="527"/>
      <c r="D42" s="536"/>
      <c r="E42" s="517"/>
      <c r="F42" s="517"/>
      <c r="G42" s="517"/>
      <c r="H42" s="425">
        <f t="shared" si="1"/>
        <v>0</v>
      </c>
      <c r="I42" s="432"/>
      <c r="K42" s="530"/>
    </row>
    <row r="43" spans="2:12" s="436" customFormat="1" ht="18">
      <c r="B43" s="433"/>
      <c r="C43" s="1274" t="s">
        <v>947</v>
      </c>
      <c r="D43" s="1275"/>
      <c r="E43" s="434">
        <f>E16+E17+E18+E30+E35</f>
        <v>1083720.19</v>
      </c>
      <c r="F43" s="434">
        <f>F16+F17+F18+F30+F35</f>
        <v>-80000</v>
      </c>
      <c r="G43" s="434">
        <f>G16+G17+G18+G30+G35</f>
        <v>0</v>
      </c>
      <c r="H43" s="434">
        <f>H16+H17+H18+H30+H35</f>
        <v>1003720.19</v>
      </c>
      <c r="I43" s="435"/>
      <c r="K43" s="530"/>
    </row>
    <row r="44" spans="2:12" s="404" customFormat="1" ht="15.75">
      <c r="B44" s="401"/>
      <c r="C44" s="99"/>
      <c r="D44" s="409"/>
      <c r="E44" s="393"/>
      <c r="F44" s="393"/>
      <c r="G44" s="393"/>
      <c r="H44" s="57"/>
      <c r="I44" s="403"/>
      <c r="K44" s="531"/>
    </row>
    <row r="45" spans="2:12" s="398" customFormat="1" ht="18">
      <c r="B45" s="431"/>
      <c r="C45" s="416" t="s">
        <v>366</v>
      </c>
      <c r="D45" s="140" t="s">
        <v>948</v>
      </c>
      <c r="E45" s="417">
        <f>SUM(E46:E48)</f>
        <v>0</v>
      </c>
      <c r="F45" s="417">
        <f>SUM(F46:F48)</f>
        <v>0</v>
      </c>
      <c r="G45" s="417">
        <f>SUM(G46:G48)</f>
        <v>0</v>
      </c>
      <c r="H45" s="417">
        <f>SUM(H46:H48)</f>
        <v>0</v>
      </c>
      <c r="I45" s="432"/>
      <c r="K45" s="530"/>
    </row>
    <row r="46" spans="2:12" s="111" customFormat="1" ht="18" hidden="1">
      <c r="B46" s="408"/>
      <c r="C46" s="421" t="s">
        <v>492</v>
      </c>
      <c r="D46" s="437" t="s">
        <v>988</v>
      </c>
      <c r="E46" s="424"/>
      <c r="F46" s="438">
        <f>'FC-7_INF'!L31</f>
        <v>0</v>
      </c>
      <c r="G46" s="518"/>
      <c r="H46" s="425">
        <f>SUM(E46:G46)</f>
        <v>0</v>
      </c>
      <c r="I46" s="426"/>
      <c r="K46" s="530"/>
      <c r="L46" s="439" t="s">
        <v>989</v>
      </c>
    </row>
    <row r="47" spans="2:12" s="111" customFormat="1" ht="18" hidden="1">
      <c r="B47" s="408"/>
      <c r="C47" s="525"/>
      <c r="D47" s="526"/>
      <c r="E47" s="424"/>
      <c r="F47" s="424"/>
      <c r="G47" s="516"/>
      <c r="H47" s="425">
        <f>SUM(E47:G47)</f>
        <v>0</v>
      </c>
      <c r="I47" s="426"/>
      <c r="K47" s="530"/>
      <c r="L47" s="398"/>
    </row>
    <row r="48" spans="2:12" s="111" customFormat="1" ht="18" hidden="1">
      <c r="B48" s="408"/>
      <c r="C48" s="527"/>
      <c r="D48" s="526"/>
      <c r="E48" s="424"/>
      <c r="F48" s="424"/>
      <c r="G48" s="517"/>
      <c r="H48" s="425">
        <f>SUM(E48:G48)</f>
        <v>0</v>
      </c>
      <c r="I48" s="426"/>
      <c r="K48" s="530"/>
      <c r="L48" s="398"/>
    </row>
    <row r="49" spans="2:13" s="398" customFormat="1" ht="18">
      <c r="B49" s="431"/>
      <c r="C49" s="416" t="s">
        <v>368</v>
      </c>
      <c r="D49" s="140" t="s">
        <v>949</v>
      </c>
      <c r="E49" s="417">
        <f>SUM(E50:E53)</f>
        <v>0</v>
      </c>
      <c r="F49" s="417">
        <f>SUM(F50:F53)</f>
        <v>0</v>
      </c>
      <c r="G49" s="417">
        <f>SUM(G50:G53)</f>
        <v>0</v>
      </c>
      <c r="H49" s="417">
        <f>SUM(H50:H53)</f>
        <v>0</v>
      </c>
      <c r="I49" s="432"/>
      <c r="K49" s="530"/>
    </row>
    <row r="50" spans="2:13" s="443" customFormat="1" ht="18" hidden="1">
      <c r="B50" s="440"/>
      <c r="C50" s="421" t="s">
        <v>598</v>
      </c>
      <c r="D50" s="437" t="s">
        <v>990</v>
      </c>
      <c r="E50" s="441"/>
      <c r="F50" s="438">
        <f>'FC-9_TRANS_SUBV'!K43</f>
        <v>0</v>
      </c>
      <c r="G50" s="362"/>
      <c r="H50" s="425">
        <f>F50+E50+G50</f>
        <v>0</v>
      </c>
      <c r="I50" s="442"/>
      <c r="K50" s="530"/>
    </row>
    <row r="51" spans="2:13" s="398" customFormat="1" ht="18" hidden="1">
      <c r="B51" s="431"/>
      <c r="C51" s="421" t="s">
        <v>598</v>
      </c>
      <c r="D51" s="437" t="s">
        <v>991</v>
      </c>
      <c r="E51" s="441"/>
      <c r="F51" s="438">
        <f>'FC-9_TRANS_SUBV'!I119</f>
        <v>0</v>
      </c>
      <c r="G51" s="362"/>
      <c r="H51" s="425">
        <f>F51+E51+G51</f>
        <v>0</v>
      </c>
      <c r="I51" s="432"/>
      <c r="K51" s="530"/>
    </row>
    <row r="52" spans="2:13" s="398" customFormat="1" ht="18" hidden="1">
      <c r="B52" s="431"/>
      <c r="C52" s="525" t="s">
        <v>672</v>
      </c>
      <c r="D52" s="437" t="s">
        <v>992</v>
      </c>
      <c r="E52" s="424"/>
      <c r="F52" s="438">
        <f>-'FC-10_DEUDAS'!P81</f>
        <v>0</v>
      </c>
      <c r="G52" s="516"/>
      <c r="H52" s="425">
        <f>SUM(E52:G52)</f>
        <v>0</v>
      </c>
      <c r="I52" s="432"/>
      <c r="K52" s="530"/>
      <c r="L52" s="427"/>
    </row>
    <row r="53" spans="2:13" s="398" customFormat="1" ht="18">
      <c r="B53" s="431"/>
      <c r="C53" s="527"/>
      <c r="D53" s="536"/>
      <c r="E53" s="517"/>
      <c r="F53" s="517"/>
      <c r="G53" s="517"/>
      <c r="H53" s="425">
        <f>SUM(E53:G53)</f>
        <v>0</v>
      </c>
      <c r="I53" s="432"/>
      <c r="K53" s="530"/>
      <c r="L53" s="427"/>
    </row>
    <row r="54" spans="2:13" s="59" customFormat="1" ht="18">
      <c r="B54" s="444"/>
      <c r="C54" s="1268" t="s">
        <v>950</v>
      </c>
      <c r="D54" s="1269"/>
      <c r="E54" s="411">
        <f>E45+E49</f>
        <v>0</v>
      </c>
      <c r="F54" s="411">
        <f>F45+F49</f>
        <v>0</v>
      </c>
      <c r="G54" s="411">
        <f t="shared" ref="G54:H54" si="2">G45+G49</f>
        <v>0</v>
      </c>
      <c r="H54" s="411">
        <f t="shared" si="2"/>
        <v>0</v>
      </c>
      <c r="I54" s="445"/>
      <c r="K54" s="530"/>
    </row>
    <row r="55" spans="2:13" s="404" customFormat="1" ht="15.75">
      <c r="B55" s="401"/>
      <c r="C55" s="99"/>
      <c r="D55" s="409"/>
      <c r="E55" s="393"/>
      <c r="F55" s="393"/>
      <c r="G55" s="393"/>
      <c r="H55" s="57"/>
      <c r="I55" s="403"/>
      <c r="K55" s="531"/>
    </row>
    <row r="56" spans="2:13" s="398" customFormat="1" ht="18">
      <c r="B56" s="431"/>
      <c r="C56" s="446" t="s">
        <v>951</v>
      </c>
      <c r="D56" s="252" t="s">
        <v>952</v>
      </c>
      <c r="E56" s="447">
        <f>SUM(E57:E62)</f>
        <v>0</v>
      </c>
      <c r="F56" s="447">
        <f>SUM(F57:F62)</f>
        <v>120</v>
      </c>
      <c r="G56" s="447">
        <f>SUM(G57:G62)</f>
        <v>0</v>
      </c>
      <c r="H56" s="447">
        <f>SUM(H57:H62)</f>
        <v>120</v>
      </c>
      <c r="I56" s="432"/>
      <c r="K56" s="530"/>
    </row>
    <row r="57" spans="2:13" s="111" customFormat="1" ht="18" hidden="1">
      <c r="B57" s="408"/>
      <c r="C57" s="421" t="s">
        <v>523</v>
      </c>
      <c r="D57" s="437" t="s">
        <v>993</v>
      </c>
      <c r="E57" s="448"/>
      <c r="F57" s="438">
        <f>-'FC-8_INV_FINANCIERAS'!I25</f>
        <v>0</v>
      </c>
      <c r="G57" s="362"/>
      <c r="H57" s="425">
        <f>SUM(E57:G57)</f>
        <v>0</v>
      </c>
      <c r="I57" s="426"/>
      <c r="K57" s="530"/>
      <c r="L57" s="439" t="s">
        <v>989</v>
      </c>
      <c r="M57" s="443"/>
    </row>
    <row r="58" spans="2:13" s="443" customFormat="1" ht="18" hidden="1">
      <c r="B58" s="440"/>
      <c r="C58" s="421" t="s">
        <v>523</v>
      </c>
      <c r="D58" s="437" t="s">
        <v>994</v>
      </c>
      <c r="E58" s="441"/>
      <c r="F58" s="438">
        <f>-'FC-8_INV_FINANCIERAS'!I34</f>
        <v>0</v>
      </c>
      <c r="G58" s="519"/>
      <c r="H58" s="425">
        <f t="shared" ref="H58:H69" si="3">SUM(E58:G58)</f>
        <v>0</v>
      </c>
      <c r="I58" s="442"/>
      <c r="K58" s="530"/>
      <c r="L58" s="439" t="s">
        <v>989</v>
      </c>
    </row>
    <row r="59" spans="2:13" s="443" customFormat="1" ht="18" hidden="1">
      <c r="B59" s="440"/>
      <c r="C59" s="421" t="s">
        <v>523</v>
      </c>
      <c r="D59" s="437" t="s">
        <v>995</v>
      </c>
      <c r="E59" s="441"/>
      <c r="F59" s="438">
        <f>-'FC-8_INV_FINANCIERAS'!I49</f>
        <v>0</v>
      </c>
      <c r="G59" s="363"/>
      <c r="H59" s="425">
        <f t="shared" si="3"/>
        <v>0</v>
      </c>
      <c r="I59" s="442"/>
      <c r="K59" s="530"/>
      <c r="L59" s="439" t="s">
        <v>989</v>
      </c>
    </row>
    <row r="60" spans="2:13" s="443" customFormat="1" ht="18" hidden="1">
      <c r="B60" s="440"/>
      <c r="C60" s="421" t="s">
        <v>523</v>
      </c>
      <c r="D60" s="437" t="s">
        <v>996</v>
      </c>
      <c r="E60" s="441"/>
      <c r="F60" s="438">
        <f>-'FC-8_INV_FINANCIERAS'!I58</f>
        <v>120</v>
      </c>
      <c r="G60" s="363"/>
      <c r="H60" s="425">
        <f t="shared" si="3"/>
        <v>120</v>
      </c>
      <c r="I60" s="442"/>
      <c r="K60" s="530"/>
      <c r="L60" s="439" t="s">
        <v>989</v>
      </c>
    </row>
    <row r="61" spans="2:13" s="443" customFormat="1" ht="18" hidden="1">
      <c r="B61" s="440"/>
      <c r="C61" s="525"/>
      <c r="D61" s="534"/>
      <c r="E61" s="424"/>
      <c r="F61" s="424"/>
      <c r="G61" s="516"/>
      <c r="H61" s="425">
        <f t="shared" si="3"/>
        <v>0</v>
      </c>
      <c r="I61" s="442"/>
      <c r="K61" s="530"/>
      <c r="L61" s="450"/>
    </row>
    <row r="62" spans="2:13" s="443" customFormat="1" ht="18" hidden="1">
      <c r="B62" s="440"/>
      <c r="C62" s="527"/>
      <c r="D62" s="536"/>
      <c r="E62" s="424"/>
      <c r="F62" s="424"/>
      <c r="G62" s="517"/>
      <c r="H62" s="425">
        <f>SUM(E62:G62)</f>
        <v>0</v>
      </c>
      <c r="I62" s="442"/>
      <c r="K62" s="530"/>
      <c r="L62" s="450"/>
    </row>
    <row r="63" spans="2:13" s="398" customFormat="1" ht="18">
      <c r="B63" s="431"/>
      <c r="C63" s="451" t="s">
        <v>953</v>
      </c>
      <c r="D63" s="452" t="s">
        <v>954</v>
      </c>
      <c r="E63" s="453">
        <f>SUM(E64:E71)</f>
        <v>0</v>
      </c>
      <c r="F63" s="453">
        <f>SUM(F64:F71)</f>
        <v>500</v>
      </c>
      <c r="G63" s="453">
        <f>SUM(G64:G71)</f>
        <v>0</v>
      </c>
      <c r="H63" s="453">
        <f>SUM(H64:H71)</f>
        <v>500</v>
      </c>
      <c r="I63" s="432"/>
      <c r="K63" s="530"/>
    </row>
    <row r="64" spans="2:13" s="443" customFormat="1" ht="18">
      <c r="B64" s="440"/>
      <c r="C64" s="421" t="s">
        <v>672</v>
      </c>
      <c r="D64" s="437" t="s">
        <v>997</v>
      </c>
      <c r="E64" s="441"/>
      <c r="F64" s="438">
        <f>'FC-10_DEUDAS'!N43</f>
        <v>0</v>
      </c>
      <c r="G64" s="520"/>
      <c r="H64" s="425">
        <f t="shared" si="3"/>
        <v>0</v>
      </c>
      <c r="I64" s="442"/>
      <c r="K64" s="530"/>
    </row>
    <row r="65" spans="2:12" s="443" customFormat="1" ht="18">
      <c r="B65" s="440"/>
      <c r="C65" s="421"/>
      <c r="D65" s="437" t="s">
        <v>998</v>
      </c>
      <c r="E65" s="441"/>
      <c r="F65" s="455"/>
      <c r="G65" s="520"/>
      <c r="H65" s="425">
        <f t="shared" si="3"/>
        <v>0</v>
      </c>
      <c r="I65" s="442"/>
      <c r="K65" s="530"/>
      <c r="L65" s="427" t="s">
        <v>999</v>
      </c>
    </row>
    <row r="66" spans="2:12" s="443" customFormat="1" ht="18">
      <c r="B66" s="440"/>
      <c r="C66" s="421"/>
      <c r="D66" s="437" t="s">
        <v>1000</v>
      </c>
      <c r="E66" s="441"/>
      <c r="F66" s="456"/>
      <c r="G66" s="363"/>
      <c r="H66" s="425">
        <f t="shared" si="3"/>
        <v>0</v>
      </c>
      <c r="I66" s="442"/>
      <c r="K66" s="530"/>
      <c r="L66" s="427" t="s">
        <v>999</v>
      </c>
    </row>
    <row r="67" spans="2:12" s="443" customFormat="1" ht="18">
      <c r="B67" s="440"/>
      <c r="C67" s="421" t="s">
        <v>672</v>
      </c>
      <c r="D67" s="437" t="s">
        <v>1001</v>
      </c>
      <c r="E67" s="441"/>
      <c r="F67" s="438">
        <f>'FC-10_DEUDAS'!N112</f>
        <v>500</v>
      </c>
      <c r="G67" s="520"/>
      <c r="H67" s="425">
        <f t="shared" si="3"/>
        <v>500</v>
      </c>
      <c r="I67" s="442"/>
      <c r="K67" s="530"/>
    </row>
    <row r="68" spans="2:12" s="443" customFormat="1" ht="18">
      <c r="B68" s="440"/>
      <c r="C68" s="421" t="s">
        <v>672</v>
      </c>
      <c r="D68" s="437" t="s">
        <v>1002</v>
      </c>
      <c r="E68" s="441"/>
      <c r="F68" s="438">
        <f>'FC-10_DEUDAS'!N144</f>
        <v>0</v>
      </c>
      <c r="G68" s="363"/>
      <c r="H68" s="425">
        <f t="shared" si="3"/>
        <v>0</v>
      </c>
      <c r="I68" s="442"/>
      <c r="K68" s="530"/>
    </row>
    <row r="69" spans="2:12" s="443" customFormat="1" ht="18">
      <c r="B69" s="440"/>
      <c r="C69" s="421"/>
      <c r="D69" s="437" t="s">
        <v>1003</v>
      </c>
      <c r="E69" s="441"/>
      <c r="F69" s="456"/>
      <c r="G69" s="363"/>
      <c r="H69" s="425">
        <f t="shared" si="3"/>
        <v>0</v>
      </c>
      <c r="I69" s="442"/>
      <c r="K69" s="530"/>
      <c r="L69" s="427" t="s">
        <v>999</v>
      </c>
    </row>
    <row r="70" spans="2:12" s="443" customFormat="1" ht="18">
      <c r="B70" s="440"/>
      <c r="C70" s="525"/>
      <c r="D70" s="534"/>
      <c r="E70" s="424"/>
      <c r="F70" s="424"/>
      <c r="G70" s="516"/>
      <c r="H70" s="425">
        <f>SUM(E70:G70)</f>
        <v>0</v>
      </c>
      <c r="I70" s="442"/>
      <c r="K70" s="530"/>
      <c r="L70" s="427"/>
    </row>
    <row r="71" spans="2:12" s="443" customFormat="1" ht="18">
      <c r="B71" s="440"/>
      <c r="C71" s="527"/>
      <c r="D71" s="536"/>
      <c r="E71" s="424"/>
      <c r="F71" s="424"/>
      <c r="G71" s="517"/>
      <c r="H71" s="425">
        <f>SUM(E71:G71)</f>
        <v>0</v>
      </c>
      <c r="I71" s="442"/>
      <c r="K71" s="530"/>
      <c r="L71" s="427"/>
    </row>
    <row r="72" spans="2:12" s="457" customFormat="1" ht="18">
      <c r="B72" s="405"/>
      <c r="C72" s="1268" t="s">
        <v>955</v>
      </c>
      <c r="D72" s="1269"/>
      <c r="E72" s="411">
        <f>E56+E63</f>
        <v>0</v>
      </c>
      <c r="F72" s="411">
        <f>F56+F63</f>
        <v>620</v>
      </c>
      <c r="G72" s="411">
        <f>G56+G63</f>
        <v>0</v>
      </c>
      <c r="H72" s="411">
        <f>H56+H63</f>
        <v>620</v>
      </c>
      <c r="I72" s="407"/>
      <c r="K72" s="530"/>
    </row>
    <row r="73" spans="2:12" s="404" customFormat="1" ht="15">
      <c r="B73" s="401"/>
      <c r="C73" s="409"/>
      <c r="D73" s="392"/>
      <c r="E73" s="393"/>
      <c r="F73" s="393"/>
      <c r="G73" s="393"/>
      <c r="H73" s="458"/>
      <c r="I73" s="403"/>
      <c r="K73" s="531"/>
    </row>
    <row r="74" spans="2:12" s="462" customFormat="1" ht="21" thickBot="1">
      <c r="B74" s="459"/>
      <c r="C74" s="1279" t="s">
        <v>1004</v>
      </c>
      <c r="D74" s="1280"/>
      <c r="E74" s="460">
        <f>E72+E54+E43</f>
        <v>1083720.19</v>
      </c>
      <c r="F74" s="460">
        <f>F72+F54+F43</f>
        <v>-79380</v>
      </c>
      <c r="G74" s="460">
        <f>G72+G54+G43</f>
        <v>0</v>
      </c>
      <c r="H74" s="460">
        <f>H72+H54+H43</f>
        <v>1004340.19</v>
      </c>
      <c r="I74" s="461"/>
      <c r="K74" s="530"/>
    </row>
    <row r="75" spans="2:12" s="404" customFormat="1" ht="15.75">
      <c r="B75" s="401"/>
      <c r="C75" s="99"/>
      <c r="D75" s="409"/>
      <c r="E75" s="393"/>
      <c r="F75" s="393"/>
      <c r="G75" s="393"/>
      <c r="H75" s="57"/>
      <c r="I75" s="403"/>
      <c r="K75" s="531"/>
    </row>
    <row r="76" spans="2:12" s="404" customFormat="1" ht="18">
      <c r="B76" s="401"/>
      <c r="C76" s="1281" t="s">
        <v>957</v>
      </c>
      <c r="D76" s="1282"/>
      <c r="E76" s="463">
        <f>SUM(E77:E84)</f>
        <v>3799.83</v>
      </c>
      <c r="F76" s="463">
        <f>SUM(F77:F84)</f>
        <v>0</v>
      </c>
      <c r="G76" s="463">
        <f>SUM(G77:G84)</f>
        <v>0</v>
      </c>
      <c r="H76" s="463">
        <f>SUM(H77:H84)</f>
        <v>3799.83</v>
      </c>
      <c r="I76" s="403"/>
      <c r="K76" s="530"/>
    </row>
    <row r="77" spans="2:12" s="398" customFormat="1" ht="18" hidden="1">
      <c r="B77" s="431"/>
      <c r="C77" s="421" t="s">
        <v>287</v>
      </c>
      <c r="D77" s="422" t="s">
        <v>211</v>
      </c>
      <c r="E77" s="423">
        <f>IF('FC-3_CPyG'!I28&gt;0,'FC-3_CPyG'!I28,0)</f>
        <v>0</v>
      </c>
      <c r="F77" s="424"/>
      <c r="G77" s="424"/>
      <c r="H77" s="425">
        <f t="shared" ref="H77:H84" si="4">F77+E77</f>
        <v>0</v>
      </c>
      <c r="I77" s="432"/>
      <c r="K77" s="530"/>
      <c r="L77" s="427" t="s">
        <v>1005</v>
      </c>
    </row>
    <row r="78" spans="2:12" s="398" customFormat="1" ht="18" hidden="1">
      <c r="B78" s="431"/>
      <c r="C78" s="421" t="s">
        <v>287</v>
      </c>
      <c r="D78" s="422" t="s">
        <v>213</v>
      </c>
      <c r="E78" s="423">
        <f>'FC-3_CPyG'!I29</f>
        <v>0</v>
      </c>
      <c r="F78" s="424"/>
      <c r="G78" s="424"/>
      <c r="H78" s="425">
        <f t="shared" si="4"/>
        <v>0</v>
      </c>
      <c r="I78" s="432"/>
      <c r="K78" s="530"/>
      <c r="L78" s="427" t="s">
        <v>1006</v>
      </c>
    </row>
    <row r="79" spans="2:12" s="398" customFormat="1" ht="18" hidden="1">
      <c r="B79" s="431"/>
      <c r="C79" s="421" t="s">
        <v>287</v>
      </c>
      <c r="D79" s="422" t="s">
        <v>229</v>
      </c>
      <c r="E79" s="423">
        <f>'FC-3_CPyG'!I39</f>
        <v>3799.83</v>
      </c>
      <c r="F79" s="424"/>
      <c r="G79" s="424"/>
      <c r="H79" s="425">
        <f t="shared" si="4"/>
        <v>3799.83</v>
      </c>
      <c r="I79" s="432"/>
      <c r="K79" s="530"/>
    </row>
    <row r="80" spans="2:12" s="398" customFormat="1" ht="18" hidden="1">
      <c r="B80" s="431"/>
      <c r="C80" s="421" t="s">
        <v>287</v>
      </c>
      <c r="D80" s="422" t="s">
        <v>231</v>
      </c>
      <c r="E80" s="423">
        <f>'FC-3_CPyG'!I40</f>
        <v>0</v>
      </c>
      <c r="F80" s="424"/>
      <c r="G80" s="424"/>
      <c r="H80" s="425">
        <f t="shared" si="4"/>
        <v>0</v>
      </c>
      <c r="I80" s="432"/>
      <c r="K80" s="530"/>
    </row>
    <row r="81" spans="2:11" s="398" customFormat="1" ht="18" hidden="1">
      <c r="B81" s="431"/>
      <c r="C81" s="421" t="s">
        <v>287</v>
      </c>
      <c r="D81" s="422" t="s">
        <v>233</v>
      </c>
      <c r="E81" s="423">
        <f>IF('FC-3_CPyG'!I41&gt;0,'FC-3_CPyG'!I41,0)</f>
        <v>0</v>
      </c>
      <c r="F81" s="424"/>
      <c r="G81" s="424"/>
      <c r="H81" s="425">
        <f t="shared" si="4"/>
        <v>0</v>
      </c>
      <c r="I81" s="432"/>
      <c r="K81" s="530"/>
    </row>
    <row r="82" spans="2:11" s="398" customFormat="1" ht="18" hidden="1">
      <c r="B82" s="431"/>
      <c r="C82" s="421" t="s">
        <v>287</v>
      </c>
      <c r="D82" s="422" t="s">
        <v>252</v>
      </c>
      <c r="E82" s="423">
        <f>IF('FC-3_CPyG'!I54&gt;0,'FC-3_CPyG'!I54,0)</f>
        <v>0</v>
      </c>
      <c r="F82" s="424"/>
      <c r="G82" s="424"/>
      <c r="H82" s="425">
        <f t="shared" si="4"/>
        <v>0</v>
      </c>
      <c r="I82" s="432"/>
      <c r="K82" s="530"/>
    </row>
    <row r="83" spans="2:11" s="398" customFormat="1" ht="18" hidden="1">
      <c r="B83" s="431"/>
      <c r="C83" s="421" t="s">
        <v>351</v>
      </c>
      <c r="D83" s="422" t="s">
        <v>1007</v>
      </c>
      <c r="E83" s="424">
        <f>'FC-3_1_INF_ADIC_CPyG'!H52</f>
        <v>0</v>
      </c>
      <c r="F83" s="424"/>
      <c r="G83" s="516"/>
      <c r="H83" s="425">
        <f t="shared" si="4"/>
        <v>0</v>
      </c>
      <c r="I83" s="432"/>
      <c r="K83" s="530"/>
    </row>
    <row r="84" spans="2:11" s="398" customFormat="1" ht="18" hidden="1">
      <c r="B84" s="431"/>
      <c r="C84" s="421"/>
      <c r="D84" s="422"/>
      <c r="E84" s="424"/>
      <c r="F84" s="424"/>
      <c r="G84" s="516"/>
      <c r="H84" s="425">
        <f t="shared" si="4"/>
        <v>0</v>
      </c>
      <c r="I84" s="432"/>
      <c r="K84" s="530"/>
    </row>
    <row r="85" spans="2:11" s="398" customFormat="1" ht="15.75">
      <c r="B85" s="431"/>
      <c r="C85" s="464"/>
      <c r="D85" s="464"/>
      <c r="E85" s="464"/>
      <c r="F85" s="464"/>
      <c r="G85" s="464"/>
      <c r="H85" s="464"/>
      <c r="I85" s="432"/>
      <c r="K85" s="532"/>
    </row>
    <row r="86" spans="2:11" s="392" customFormat="1" ht="18.75" thickBot="1">
      <c r="B86" s="465"/>
      <c r="C86" s="1277" t="s">
        <v>1008</v>
      </c>
      <c r="D86" s="1278"/>
      <c r="E86" s="466">
        <f>E74+E76</f>
        <v>1087520.02</v>
      </c>
      <c r="F86" s="466">
        <f t="shared" ref="F86:H86" si="5">F74+F76</f>
        <v>-79380</v>
      </c>
      <c r="G86" s="466">
        <f t="shared" si="5"/>
        <v>0</v>
      </c>
      <c r="H86" s="466">
        <f t="shared" si="5"/>
        <v>1008140.0199999999</v>
      </c>
      <c r="I86" s="467"/>
      <c r="J86" s="468"/>
      <c r="K86" s="530"/>
    </row>
    <row r="87" spans="2:11" s="404" customFormat="1" ht="18">
      <c r="B87" s="401"/>
      <c r="C87" s="469"/>
      <c r="D87" s="469"/>
      <c r="E87" s="470"/>
      <c r="F87" s="470"/>
      <c r="G87" s="470"/>
      <c r="H87" s="161"/>
      <c r="I87" s="403"/>
      <c r="K87" s="531"/>
    </row>
    <row r="88" spans="2:11" s="404" customFormat="1" ht="18">
      <c r="B88" s="401"/>
      <c r="C88" s="469"/>
      <c r="D88" s="469"/>
      <c r="E88" s="470"/>
      <c r="F88" s="470"/>
      <c r="G88" s="470"/>
      <c r="H88" s="161"/>
      <c r="I88" s="403"/>
      <c r="K88" s="531"/>
    </row>
    <row r="89" spans="2:11" s="413" customFormat="1" ht="23.25">
      <c r="B89" s="410"/>
      <c r="C89" s="1272" t="s">
        <v>958</v>
      </c>
      <c r="D89" s="1273"/>
      <c r="E89" s="471"/>
      <c r="F89" s="471"/>
      <c r="G89" s="471"/>
      <c r="H89" s="472" t="s">
        <v>612</v>
      </c>
      <c r="I89" s="412"/>
      <c r="K89" s="530"/>
    </row>
    <row r="90" spans="2:11" ht="18">
      <c r="B90" s="408"/>
      <c r="C90" s="414"/>
      <c r="D90" s="409"/>
      <c r="E90" s="393"/>
      <c r="F90" s="393"/>
      <c r="G90" s="393"/>
      <c r="H90" s="31"/>
      <c r="I90" s="399"/>
      <c r="K90" s="533"/>
    </row>
    <row r="91" spans="2:11" s="420" customFormat="1" ht="18">
      <c r="B91" s="415"/>
      <c r="C91" s="416" t="s">
        <v>356</v>
      </c>
      <c r="D91" s="140" t="s">
        <v>959</v>
      </c>
      <c r="E91" s="417">
        <f>SUM(E92:E95)</f>
        <v>397280.31</v>
      </c>
      <c r="F91" s="417">
        <f>SUM(F92:F95)</f>
        <v>0</v>
      </c>
      <c r="G91" s="417">
        <f>SUM(G92:G95)</f>
        <v>0</v>
      </c>
      <c r="H91" s="417">
        <f>SUM(H92:H95)</f>
        <v>397280.31</v>
      </c>
      <c r="I91" s="419"/>
      <c r="K91" s="530"/>
    </row>
    <row r="92" spans="2:11" s="404" customFormat="1" ht="18" hidden="1">
      <c r="B92" s="401"/>
      <c r="C92" s="421" t="s">
        <v>287</v>
      </c>
      <c r="D92" s="422" t="s">
        <v>219</v>
      </c>
      <c r="E92" s="423">
        <f>-'FC-3_CPyG'!I32</f>
        <v>397280.31</v>
      </c>
      <c r="F92" s="424"/>
      <c r="G92" s="424"/>
      <c r="H92" s="425">
        <f>F92+E92</f>
        <v>397280.31</v>
      </c>
      <c r="I92" s="403"/>
      <c r="K92" s="530"/>
    </row>
    <row r="93" spans="2:11" s="404" customFormat="1" ht="18" hidden="1">
      <c r="B93" s="401"/>
      <c r="C93" s="421"/>
      <c r="D93" s="422"/>
      <c r="E93" s="424"/>
      <c r="F93" s="424"/>
      <c r="G93" s="516"/>
      <c r="H93" s="425">
        <f>F93+E93</f>
        <v>0</v>
      </c>
      <c r="I93" s="403"/>
      <c r="K93" s="530"/>
    </row>
    <row r="94" spans="2:11" s="404" customFormat="1" ht="18" hidden="1">
      <c r="B94" s="401"/>
      <c r="C94" s="525"/>
      <c r="D94" s="534"/>
      <c r="E94" s="424"/>
      <c r="F94" s="424"/>
      <c r="G94" s="516"/>
      <c r="H94" s="425">
        <f>SUM(E94:G94)</f>
        <v>0</v>
      </c>
      <c r="I94" s="403"/>
      <c r="K94" s="530"/>
    </row>
    <row r="95" spans="2:11" s="404" customFormat="1" ht="18" hidden="1">
      <c r="B95" s="401"/>
      <c r="C95" s="527"/>
      <c r="D95" s="535"/>
      <c r="E95" s="424"/>
      <c r="F95" s="424"/>
      <c r="G95" s="517"/>
      <c r="H95" s="425">
        <f>SUM(E95:G95)</f>
        <v>0</v>
      </c>
      <c r="I95" s="403"/>
      <c r="K95" s="530"/>
    </row>
    <row r="96" spans="2:11" s="420" customFormat="1" ht="18">
      <c r="B96" s="415"/>
      <c r="C96" s="473" t="s">
        <v>358</v>
      </c>
      <c r="D96" s="474" t="s">
        <v>960</v>
      </c>
      <c r="E96" s="475">
        <f>SUM(E97:E102)</f>
        <v>676179.62</v>
      </c>
      <c r="F96" s="475">
        <f>SUM(F97:F102)</f>
        <v>0</v>
      </c>
      <c r="G96" s="475">
        <f>SUM(G97:G102)</f>
        <v>0</v>
      </c>
      <c r="H96" s="475">
        <f>SUM(H97:H102)</f>
        <v>676179.62</v>
      </c>
      <c r="I96" s="419"/>
      <c r="K96" s="530"/>
    </row>
    <row r="97" spans="2:12" s="404" customFormat="1" ht="18" hidden="1">
      <c r="B97" s="401"/>
      <c r="C97" s="421" t="s">
        <v>1009</v>
      </c>
      <c r="D97" s="422" t="s">
        <v>1010</v>
      </c>
      <c r="E97" s="423">
        <f>-'FC-3_CPyG'!I30</f>
        <v>217000</v>
      </c>
      <c r="F97" s="424"/>
      <c r="G97" s="424"/>
      <c r="H97" s="425">
        <f>SUM(E97:G97)</f>
        <v>217000</v>
      </c>
      <c r="I97" s="403"/>
      <c r="K97" s="530"/>
      <c r="L97" s="427" t="s">
        <v>1011</v>
      </c>
    </row>
    <row r="98" spans="2:12" s="404" customFormat="1" ht="18" hidden="1">
      <c r="B98" s="401"/>
      <c r="C98" s="421" t="s">
        <v>287</v>
      </c>
      <c r="D98" s="422" t="s">
        <v>221</v>
      </c>
      <c r="E98" s="423">
        <f>-'FC-3_CPyG'!I33</f>
        <v>459179.62</v>
      </c>
      <c r="F98" s="424"/>
      <c r="G98" s="424"/>
      <c r="H98" s="425">
        <f t="shared" ref="H98:H107" si="6">SUM(E98:G98)</f>
        <v>459179.62</v>
      </c>
      <c r="I98" s="403"/>
      <c r="K98" s="530"/>
    </row>
    <row r="99" spans="2:12" s="404" customFormat="1" ht="18" hidden="1">
      <c r="B99" s="401"/>
      <c r="C99" s="421" t="s">
        <v>287</v>
      </c>
      <c r="D99" s="422" t="s">
        <v>1012</v>
      </c>
      <c r="E99" s="423">
        <f>-'FC-3_CPyG'!I58</f>
        <v>0</v>
      </c>
      <c r="F99" s="424"/>
      <c r="G99" s="424"/>
      <c r="H99" s="425">
        <f t="shared" si="6"/>
        <v>0</v>
      </c>
      <c r="I99" s="403"/>
      <c r="K99" s="530"/>
    </row>
    <row r="100" spans="2:12" s="481" customFormat="1" ht="18" hidden="1">
      <c r="B100" s="476"/>
      <c r="C100" s="477"/>
      <c r="D100" s="478" t="s">
        <v>1013</v>
      </c>
      <c r="E100" s="479"/>
      <c r="F100" s="519"/>
      <c r="G100" s="519"/>
      <c r="H100" s="425">
        <f t="shared" si="6"/>
        <v>0</v>
      </c>
      <c r="I100" s="480"/>
      <c r="K100" s="530"/>
      <c r="L100" s="427" t="s">
        <v>999</v>
      </c>
    </row>
    <row r="101" spans="2:12" s="404" customFormat="1" ht="18" hidden="1">
      <c r="B101" s="401"/>
      <c r="C101" s="421" t="s">
        <v>351</v>
      </c>
      <c r="D101" s="422" t="s">
        <v>1014</v>
      </c>
      <c r="E101" s="424">
        <f>'FC-3_1_INF_ADIC_CPyG'!H57</f>
        <v>0</v>
      </c>
      <c r="F101" s="424"/>
      <c r="G101" s="516"/>
      <c r="H101" s="425">
        <f t="shared" si="6"/>
        <v>0</v>
      </c>
      <c r="I101" s="403"/>
      <c r="K101" s="530"/>
    </row>
    <row r="102" spans="2:12" s="404" customFormat="1" ht="18" hidden="1">
      <c r="B102" s="401"/>
      <c r="C102" s="527"/>
      <c r="D102" s="535"/>
      <c r="E102" s="424"/>
      <c r="F102" s="424"/>
      <c r="G102" s="517"/>
      <c r="H102" s="425">
        <f t="shared" si="6"/>
        <v>0</v>
      </c>
      <c r="I102" s="403"/>
      <c r="K102" s="530"/>
    </row>
    <row r="103" spans="2:12" s="420" customFormat="1" ht="18">
      <c r="B103" s="415"/>
      <c r="C103" s="473" t="s">
        <v>360</v>
      </c>
      <c r="D103" s="474" t="s">
        <v>961</v>
      </c>
      <c r="E103" s="475">
        <f>SUM(E104:E108)</f>
        <v>0</v>
      </c>
      <c r="F103" s="475">
        <f t="shared" ref="F103:H103" si="7">SUM(F104:F108)</f>
        <v>0</v>
      </c>
      <c r="G103" s="475">
        <f t="shared" si="7"/>
        <v>0</v>
      </c>
      <c r="H103" s="475">
        <f t="shared" si="7"/>
        <v>0</v>
      </c>
      <c r="I103" s="419"/>
      <c r="K103" s="530"/>
    </row>
    <row r="104" spans="2:12" s="404" customFormat="1" ht="18" hidden="1">
      <c r="B104" s="401"/>
      <c r="C104" s="421" t="s">
        <v>287</v>
      </c>
      <c r="D104" s="422" t="s">
        <v>243</v>
      </c>
      <c r="E104" s="423">
        <f>-'FC-3_CPyG'!I48</f>
        <v>0</v>
      </c>
      <c r="F104" s="424"/>
      <c r="G104" s="424"/>
      <c r="H104" s="425">
        <f>SUM(E104:G104)</f>
        <v>0</v>
      </c>
      <c r="I104" s="403"/>
      <c r="K104" s="530"/>
    </row>
    <row r="105" spans="2:12" s="404" customFormat="1" ht="18" hidden="1">
      <c r="B105" s="401"/>
      <c r="C105" s="421"/>
      <c r="D105" s="422"/>
      <c r="E105" s="424"/>
      <c r="F105" s="424"/>
      <c r="G105" s="516"/>
      <c r="H105" s="425">
        <f t="shared" si="6"/>
        <v>0</v>
      </c>
      <c r="I105" s="403"/>
      <c r="K105" s="530"/>
    </row>
    <row r="106" spans="2:12" s="404" customFormat="1" ht="18" hidden="1">
      <c r="B106" s="401"/>
      <c r="C106" s="421"/>
      <c r="D106" s="422"/>
      <c r="E106" s="424"/>
      <c r="F106" s="424"/>
      <c r="G106" s="516"/>
      <c r="H106" s="425">
        <f>SUM(E106:G106)</f>
        <v>0</v>
      </c>
      <c r="I106" s="403"/>
      <c r="K106" s="530"/>
    </row>
    <row r="107" spans="2:12" s="404" customFormat="1" ht="18" hidden="1">
      <c r="B107" s="401"/>
      <c r="C107" s="525"/>
      <c r="D107" s="534"/>
      <c r="E107" s="424"/>
      <c r="F107" s="424"/>
      <c r="G107" s="516"/>
      <c r="H107" s="425">
        <f t="shared" si="6"/>
        <v>0</v>
      </c>
      <c r="I107" s="403"/>
      <c r="K107" s="530"/>
    </row>
    <row r="108" spans="2:12" s="404" customFormat="1" ht="18" hidden="1">
      <c r="B108" s="401"/>
      <c r="C108" s="527"/>
      <c r="D108" s="536"/>
      <c r="E108" s="424"/>
      <c r="F108" s="424"/>
      <c r="G108" s="517"/>
      <c r="H108" s="425">
        <f>SUM(E108:G108)</f>
        <v>0</v>
      </c>
      <c r="I108" s="403"/>
      <c r="K108" s="530"/>
    </row>
    <row r="109" spans="2:12" s="420" customFormat="1" ht="18">
      <c r="B109" s="415"/>
      <c r="C109" s="473" t="s">
        <v>362</v>
      </c>
      <c r="D109" s="474" t="s">
        <v>962</v>
      </c>
      <c r="E109" s="475">
        <f>SUM(E110:E112)</f>
        <v>0</v>
      </c>
      <c r="F109" s="475">
        <f>SUM(F110:F112)</f>
        <v>0</v>
      </c>
      <c r="G109" s="475">
        <f>SUM(G110:G112)</f>
        <v>0</v>
      </c>
      <c r="H109" s="475">
        <f>SUM(H110:H112)</f>
        <v>0</v>
      </c>
      <c r="I109" s="419"/>
      <c r="K109" s="530"/>
    </row>
    <row r="110" spans="2:12" s="404" customFormat="1" ht="18" hidden="1">
      <c r="B110" s="401"/>
      <c r="C110" s="421" t="s">
        <v>287</v>
      </c>
      <c r="D110" s="422" t="s">
        <v>205</v>
      </c>
      <c r="E110" s="423">
        <f>-'FC-3_CPyG'!I23</f>
        <v>0</v>
      </c>
      <c r="F110" s="424"/>
      <c r="G110" s="424"/>
      <c r="H110" s="425">
        <f>SUM(E110:G110)</f>
        <v>0</v>
      </c>
      <c r="I110" s="403"/>
      <c r="K110" s="530"/>
    </row>
    <row r="111" spans="2:12" s="404" customFormat="1" ht="18" hidden="1">
      <c r="B111" s="401"/>
      <c r="C111" s="525"/>
      <c r="D111" s="534"/>
      <c r="E111" s="516"/>
      <c r="F111" s="424"/>
      <c r="G111" s="516"/>
      <c r="H111" s="425">
        <f>SUM(E111:G111)</f>
        <v>0</v>
      </c>
      <c r="I111" s="403"/>
      <c r="K111" s="530"/>
    </row>
    <row r="112" spans="2:12" s="404" customFormat="1" ht="18">
      <c r="B112" s="401"/>
      <c r="C112" s="527"/>
      <c r="D112" s="536"/>
      <c r="E112" s="424"/>
      <c r="F112" s="424"/>
      <c r="G112" s="517"/>
      <c r="H112" s="425">
        <f>SUM(E112:G112)</f>
        <v>0</v>
      </c>
      <c r="I112" s="403"/>
      <c r="K112" s="530"/>
    </row>
    <row r="113" spans="2:12" s="59" customFormat="1" ht="18">
      <c r="B113" s="444"/>
      <c r="C113" s="1268" t="s">
        <v>963</v>
      </c>
      <c r="D113" s="1269"/>
      <c r="E113" s="411">
        <f>E91+E96+E103+E109</f>
        <v>1073459.93</v>
      </c>
      <c r="F113" s="411">
        <f>F91+F96+F103+F109</f>
        <v>0</v>
      </c>
      <c r="G113" s="411">
        <f>G91+G96+G103+G109</f>
        <v>0</v>
      </c>
      <c r="H113" s="411">
        <f>H91+H96+H103+H109</f>
        <v>1073459.93</v>
      </c>
      <c r="I113" s="445"/>
      <c r="K113" s="530"/>
    </row>
    <row r="114" spans="2:12" s="404" customFormat="1" ht="15.75">
      <c r="B114" s="401"/>
      <c r="C114" s="99"/>
      <c r="D114" s="409"/>
      <c r="E114" s="393"/>
      <c r="F114" s="393"/>
      <c r="G114" s="393"/>
      <c r="H114" s="57"/>
      <c r="I114" s="403"/>
      <c r="K114" s="531"/>
    </row>
    <row r="115" spans="2:12" s="420" customFormat="1" ht="18">
      <c r="B115" s="415"/>
      <c r="C115" s="416" t="s">
        <v>366</v>
      </c>
      <c r="D115" s="140" t="s">
        <v>964</v>
      </c>
      <c r="E115" s="417">
        <f>SUM(E116:E119)</f>
        <v>0</v>
      </c>
      <c r="F115" s="417">
        <f t="shared" ref="F115:G115" si="8">SUM(F116:F119)</f>
        <v>10000</v>
      </c>
      <c r="G115" s="417">
        <f t="shared" si="8"/>
        <v>0</v>
      </c>
      <c r="H115" s="417">
        <f>SUM(H116:H119)</f>
        <v>10000</v>
      </c>
      <c r="I115" s="419"/>
      <c r="K115" s="530"/>
    </row>
    <row r="116" spans="2:12" s="404" customFormat="1" ht="18" hidden="1">
      <c r="B116" s="401"/>
      <c r="C116" s="421" t="s">
        <v>492</v>
      </c>
      <c r="D116" s="437" t="s">
        <v>1015</v>
      </c>
      <c r="E116" s="424"/>
      <c r="F116" s="449">
        <f>+'FC-7_INF'!G31</f>
        <v>10000</v>
      </c>
      <c r="G116" s="519"/>
      <c r="H116" s="425">
        <f>SUM(E116:G116)</f>
        <v>10000</v>
      </c>
      <c r="I116" s="403"/>
      <c r="K116" s="530"/>
    </row>
    <row r="117" spans="2:12" s="398" customFormat="1" ht="18" hidden="1">
      <c r="B117" s="431"/>
      <c r="C117" s="421" t="s">
        <v>492</v>
      </c>
      <c r="D117" s="437" t="s">
        <v>1016</v>
      </c>
      <c r="E117" s="424"/>
      <c r="F117" s="449">
        <f>+'FC-7_INF'!I31</f>
        <v>0</v>
      </c>
      <c r="G117" s="519"/>
      <c r="H117" s="425">
        <f>SUM(E117:G117)</f>
        <v>0</v>
      </c>
      <c r="I117" s="432"/>
      <c r="K117" s="530"/>
    </row>
    <row r="118" spans="2:12" s="398" customFormat="1" ht="18" hidden="1">
      <c r="B118" s="431"/>
      <c r="C118" s="525"/>
      <c r="D118" s="526"/>
      <c r="E118" s="424"/>
      <c r="F118" s="424"/>
      <c r="G118" s="363"/>
      <c r="H118" s="425">
        <f>SUM(E118:G118)</f>
        <v>0</v>
      </c>
      <c r="I118" s="432"/>
      <c r="K118" s="530"/>
    </row>
    <row r="119" spans="2:12" s="398" customFormat="1" ht="18" hidden="1">
      <c r="B119" s="431"/>
      <c r="C119" s="527"/>
      <c r="D119" s="535"/>
      <c r="E119" s="482"/>
      <c r="F119" s="482"/>
      <c r="G119" s="521"/>
      <c r="H119" s="425">
        <f>SUM(E119:G119)</f>
        <v>0</v>
      </c>
      <c r="I119" s="432"/>
      <c r="K119" s="530"/>
    </row>
    <row r="120" spans="2:12" s="420" customFormat="1" ht="18">
      <c r="B120" s="415"/>
      <c r="C120" s="416" t="s">
        <v>368</v>
      </c>
      <c r="D120" s="140" t="s">
        <v>949</v>
      </c>
      <c r="E120" s="417">
        <f>SUM(E121:E123)</f>
        <v>0</v>
      </c>
      <c r="F120" s="417">
        <f>SUM(F121:F123)</f>
        <v>0</v>
      </c>
      <c r="G120" s="417">
        <f>SUM(G121:G123)</f>
        <v>0</v>
      </c>
      <c r="H120" s="417">
        <f>SUM(H121:H123)</f>
        <v>0</v>
      </c>
      <c r="I120" s="419"/>
      <c r="K120" s="530"/>
    </row>
    <row r="121" spans="2:12" s="398" customFormat="1" ht="18" hidden="1">
      <c r="B121" s="431"/>
      <c r="C121" s="421"/>
      <c r="D121" s="437" t="s">
        <v>1017</v>
      </c>
      <c r="E121" s="424"/>
      <c r="F121" s="454">
        <f>IF('FC-4_PASIVO'!I18-'FC-4_PASIVO'!H18&lt;0,'FC-4_PASIVO'!H18-'FC-4_PASIVO'!I18,0)</f>
        <v>0</v>
      </c>
      <c r="G121" s="520"/>
      <c r="H121" s="425">
        <f>SUM(E121:G121)</f>
        <v>0</v>
      </c>
      <c r="I121" s="432"/>
      <c r="K121" s="530"/>
      <c r="L121" s="427" t="s">
        <v>1018</v>
      </c>
    </row>
    <row r="122" spans="2:12" s="398" customFormat="1" ht="18" hidden="1">
      <c r="B122" s="431"/>
      <c r="C122" s="525"/>
      <c r="D122" s="526"/>
      <c r="E122" s="424"/>
      <c r="F122" s="424"/>
      <c r="G122" s="364"/>
      <c r="H122" s="425">
        <f>SUM(E122:G122)</f>
        <v>0</v>
      </c>
      <c r="I122" s="432"/>
      <c r="K122" s="530"/>
    </row>
    <row r="123" spans="2:12" s="398" customFormat="1" ht="18">
      <c r="B123" s="431"/>
      <c r="C123" s="527"/>
      <c r="D123" s="535"/>
      <c r="E123" s="482"/>
      <c r="F123" s="482"/>
      <c r="G123" s="522"/>
      <c r="H123" s="425">
        <f>SUM(E123:G123)</f>
        <v>0</v>
      </c>
      <c r="I123" s="432"/>
      <c r="K123" s="530"/>
    </row>
    <row r="124" spans="2:12" s="59" customFormat="1" ht="18">
      <c r="B124" s="444"/>
      <c r="C124" s="1268" t="s">
        <v>965</v>
      </c>
      <c r="D124" s="1269"/>
      <c r="E124" s="411">
        <f>+E115+E120</f>
        <v>0</v>
      </c>
      <c r="F124" s="411">
        <f t="shared" ref="F124:H124" si="9">+F115+F120</f>
        <v>10000</v>
      </c>
      <c r="G124" s="411">
        <f t="shared" si="9"/>
        <v>0</v>
      </c>
      <c r="H124" s="411">
        <f t="shared" si="9"/>
        <v>10000</v>
      </c>
      <c r="I124" s="445"/>
      <c r="K124" s="530"/>
    </row>
    <row r="125" spans="2:12" s="404" customFormat="1" ht="15.75">
      <c r="B125" s="401"/>
      <c r="C125" s="99"/>
      <c r="D125" s="409"/>
      <c r="E125" s="393"/>
      <c r="F125" s="393"/>
      <c r="G125" s="393"/>
      <c r="H125" s="57"/>
      <c r="I125" s="403"/>
      <c r="K125" s="531"/>
    </row>
    <row r="126" spans="2:12" s="420" customFormat="1" ht="18">
      <c r="B126" s="415"/>
      <c r="C126" s="416" t="s">
        <v>951</v>
      </c>
      <c r="D126" s="140" t="s">
        <v>952</v>
      </c>
      <c r="E126" s="417">
        <f>SUM(E127:E132)</f>
        <v>0</v>
      </c>
      <c r="F126" s="417">
        <f>SUM(F127:F132)</f>
        <v>0</v>
      </c>
      <c r="G126" s="417">
        <f>SUM(G127:G132)</f>
        <v>0</v>
      </c>
      <c r="H126" s="417">
        <f>SUM(H127:H132)</f>
        <v>0</v>
      </c>
      <c r="I126" s="419"/>
      <c r="K126" s="530"/>
    </row>
    <row r="127" spans="2:12" s="398" customFormat="1" ht="18" hidden="1">
      <c r="B127" s="431"/>
      <c r="C127" s="421" t="s">
        <v>523</v>
      </c>
      <c r="D127" s="437" t="s">
        <v>1019</v>
      </c>
      <c r="E127" s="424"/>
      <c r="F127" s="449">
        <f>'FC-8_INV_FINANCIERAS'!H25</f>
        <v>0</v>
      </c>
      <c r="G127" s="364"/>
      <c r="H127" s="425">
        <f>SUM(E127:G127)</f>
        <v>0</v>
      </c>
      <c r="I127" s="432"/>
      <c r="K127" s="530"/>
    </row>
    <row r="128" spans="2:12" s="398" customFormat="1" ht="18" hidden="1">
      <c r="B128" s="431"/>
      <c r="C128" s="421" t="s">
        <v>523</v>
      </c>
      <c r="D128" s="437" t="s">
        <v>1020</v>
      </c>
      <c r="E128" s="424"/>
      <c r="F128" s="449">
        <f>'FC-8_INV_FINANCIERAS'!H34</f>
        <v>0</v>
      </c>
      <c r="G128" s="520"/>
      <c r="H128" s="425">
        <f t="shared" ref="H128:H132" si="10">SUM(E128:G128)</f>
        <v>0</v>
      </c>
      <c r="I128" s="432"/>
      <c r="K128" s="530"/>
    </row>
    <row r="129" spans="2:12" s="398" customFormat="1" ht="18" hidden="1">
      <c r="B129" s="431"/>
      <c r="C129" s="421" t="s">
        <v>523</v>
      </c>
      <c r="D129" s="437" t="s">
        <v>1021</v>
      </c>
      <c r="E129" s="424"/>
      <c r="F129" s="449">
        <f>'FC-8_INV_FINANCIERAS'!H49</f>
        <v>0</v>
      </c>
      <c r="G129" s="364"/>
      <c r="H129" s="425">
        <f t="shared" si="10"/>
        <v>0</v>
      </c>
      <c r="I129" s="432"/>
      <c r="K129" s="530"/>
    </row>
    <row r="130" spans="2:12" s="398" customFormat="1" ht="18" hidden="1">
      <c r="B130" s="431"/>
      <c r="C130" s="421" t="s">
        <v>523</v>
      </c>
      <c r="D130" s="437" t="s">
        <v>1022</v>
      </c>
      <c r="E130" s="424"/>
      <c r="F130" s="449">
        <f>'FC-8_INV_FINANCIERAS'!H58</f>
        <v>0</v>
      </c>
      <c r="G130" s="364"/>
      <c r="H130" s="425">
        <f t="shared" si="10"/>
        <v>0</v>
      </c>
      <c r="I130" s="432"/>
      <c r="K130" s="530"/>
    </row>
    <row r="131" spans="2:12" s="398" customFormat="1" ht="18" hidden="1">
      <c r="B131" s="431"/>
      <c r="C131" s="525"/>
      <c r="D131" s="526"/>
      <c r="E131" s="424"/>
      <c r="F131" s="424"/>
      <c r="G131" s="364"/>
      <c r="H131" s="425">
        <f t="shared" si="10"/>
        <v>0</v>
      </c>
      <c r="I131" s="432"/>
      <c r="K131" s="530"/>
    </row>
    <row r="132" spans="2:12" s="398" customFormat="1" ht="18" hidden="1">
      <c r="B132" s="431"/>
      <c r="C132" s="527"/>
      <c r="D132" s="535"/>
      <c r="E132" s="482"/>
      <c r="F132" s="482"/>
      <c r="G132" s="522"/>
      <c r="H132" s="425">
        <f t="shared" si="10"/>
        <v>0</v>
      </c>
      <c r="I132" s="432"/>
      <c r="K132" s="530"/>
    </row>
    <row r="133" spans="2:12" s="398" customFormat="1" ht="18">
      <c r="B133" s="431"/>
      <c r="C133" s="446" t="s">
        <v>953</v>
      </c>
      <c r="D133" s="252" t="s">
        <v>954</v>
      </c>
      <c r="E133" s="447">
        <f>SUM(E134:E141)</f>
        <v>0</v>
      </c>
      <c r="F133" s="447">
        <f>SUM(F134:F141)</f>
        <v>0</v>
      </c>
      <c r="G133" s="447">
        <f>SUM(G134:G141)</f>
        <v>0</v>
      </c>
      <c r="H133" s="447">
        <f>SUM(H134:H141)</f>
        <v>0</v>
      </c>
      <c r="I133" s="432"/>
      <c r="K133" s="530"/>
    </row>
    <row r="134" spans="2:12" s="398" customFormat="1" ht="18" hidden="1">
      <c r="B134" s="431"/>
      <c r="C134" s="421" t="s">
        <v>672</v>
      </c>
      <c r="D134" s="437" t="s">
        <v>1023</v>
      </c>
      <c r="E134" s="424"/>
      <c r="F134" s="454">
        <f>'FC-10_DEUDAS'!O43</f>
        <v>0</v>
      </c>
      <c r="G134" s="520"/>
      <c r="H134" s="425">
        <f t="shared" ref="H134:H141" si="11">SUM(E134:G134)</f>
        <v>0</v>
      </c>
      <c r="I134" s="432"/>
      <c r="K134" s="530"/>
    </row>
    <row r="135" spans="2:12" s="398" customFormat="1" ht="18" hidden="1">
      <c r="B135" s="431"/>
      <c r="C135" s="421"/>
      <c r="D135" s="437" t="s">
        <v>1024</v>
      </c>
      <c r="E135" s="424"/>
      <c r="F135" s="523"/>
      <c r="G135" s="520"/>
      <c r="H135" s="425">
        <f t="shared" si="11"/>
        <v>0</v>
      </c>
      <c r="I135" s="432"/>
      <c r="K135" s="530"/>
      <c r="L135" s="427" t="s">
        <v>999</v>
      </c>
    </row>
    <row r="136" spans="2:12" s="443" customFormat="1" ht="18" hidden="1">
      <c r="B136" s="440"/>
      <c r="C136" s="421"/>
      <c r="D136" s="437" t="s">
        <v>1025</v>
      </c>
      <c r="E136" s="441"/>
      <c r="F136" s="366"/>
      <c r="G136" s="363"/>
      <c r="H136" s="425">
        <f t="shared" si="11"/>
        <v>0</v>
      </c>
      <c r="I136" s="442"/>
      <c r="K136" s="530"/>
      <c r="L136" s="427" t="s">
        <v>999</v>
      </c>
    </row>
    <row r="137" spans="2:12" s="443" customFormat="1" ht="18" hidden="1">
      <c r="B137" s="440"/>
      <c r="C137" s="421" t="s">
        <v>672</v>
      </c>
      <c r="D137" s="437" t="s">
        <v>1026</v>
      </c>
      <c r="E137" s="441"/>
      <c r="F137" s="454">
        <f>'FC-10_DEUDAS'!O112</f>
        <v>0</v>
      </c>
      <c r="G137" s="520"/>
      <c r="H137" s="425">
        <f t="shared" si="11"/>
        <v>0</v>
      </c>
      <c r="I137" s="442"/>
      <c r="K137" s="530"/>
      <c r="L137" s="427"/>
    </row>
    <row r="138" spans="2:12" s="398" customFormat="1" ht="18" hidden="1">
      <c r="B138" s="431"/>
      <c r="C138" s="421" t="s">
        <v>672</v>
      </c>
      <c r="D138" s="437" t="s">
        <v>1027</v>
      </c>
      <c r="E138" s="424"/>
      <c r="F138" s="454">
        <f>'FC-10_DEUDAS'!O144</f>
        <v>0</v>
      </c>
      <c r="G138" s="364"/>
      <c r="H138" s="425">
        <f t="shared" si="11"/>
        <v>0</v>
      </c>
      <c r="I138" s="432"/>
      <c r="K138" s="530"/>
    </row>
    <row r="139" spans="2:12" s="398" customFormat="1" ht="18" hidden="1">
      <c r="B139" s="431"/>
      <c r="C139" s="421"/>
      <c r="D139" s="437" t="s">
        <v>1028</v>
      </c>
      <c r="E139" s="424"/>
      <c r="F139" s="366"/>
      <c r="G139" s="364"/>
      <c r="H139" s="425">
        <f t="shared" si="11"/>
        <v>0</v>
      </c>
      <c r="I139" s="432"/>
      <c r="K139" s="530"/>
      <c r="L139" s="483" t="s">
        <v>999</v>
      </c>
    </row>
    <row r="140" spans="2:12" s="398" customFormat="1" ht="18" hidden="1">
      <c r="B140" s="431"/>
      <c r="C140" s="525"/>
      <c r="D140" s="526"/>
      <c r="E140" s="424"/>
      <c r="F140" s="424"/>
      <c r="G140" s="364"/>
      <c r="H140" s="425">
        <f t="shared" si="11"/>
        <v>0</v>
      </c>
      <c r="I140" s="432"/>
      <c r="K140" s="530"/>
    </row>
    <row r="141" spans="2:12" s="398" customFormat="1" ht="18">
      <c r="B141" s="431"/>
      <c r="C141" s="527"/>
      <c r="D141" s="535"/>
      <c r="E141" s="482"/>
      <c r="F141" s="482"/>
      <c r="G141" s="522"/>
      <c r="H141" s="425">
        <f t="shared" si="11"/>
        <v>0</v>
      </c>
      <c r="I141" s="432"/>
      <c r="K141" s="530"/>
    </row>
    <row r="142" spans="2:12" s="436" customFormat="1" ht="18">
      <c r="B142" s="433"/>
      <c r="C142" s="1274" t="s">
        <v>966</v>
      </c>
      <c r="D142" s="1275"/>
      <c r="E142" s="434">
        <f>+E126+E133</f>
        <v>0</v>
      </c>
      <c r="F142" s="434">
        <f>+F126+F133</f>
        <v>0</v>
      </c>
      <c r="G142" s="434">
        <f>+G126+G133</f>
        <v>0</v>
      </c>
      <c r="H142" s="434">
        <f>+H126+H133</f>
        <v>0</v>
      </c>
      <c r="I142" s="435"/>
      <c r="K142" s="530"/>
    </row>
    <row r="143" spans="2:12" s="404" customFormat="1" ht="15">
      <c r="B143" s="401"/>
      <c r="C143" s="409"/>
      <c r="D143" s="392"/>
      <c r="E143" s="393"/>
      <c r="F143" s="393"/>
      <c r="G143" s="393"/>
      <c r="H143" s="458"/>
      <c r="I143" s="403"/>
      <c r="K143" s="531"/>
    </row>
    <row r="144" spans="2:12" s="59" customFormat="1" ht="18.75" thickBot="1">
      <c r="B144" s="444"/>
      <c r="C144" s="1283" t="s">
        <v>1029</v>
      </c>
      <c r="D144" s="1284"/>
      <c r="E144" s="484">
        <f>+E113+E124+E142</f>
        <v>1073459.93</v>
      </c>
      <c r="F144" s="484">
        <f>+F113+F124+F142</f>
        <v>10000</v>
      </c>
      <c r="G144" s="484">
        <f>+G113+G124+G142</f>
        <v>0</v>
      </c>
      <c r="H144" s="484">
        <f>+H113+H124+H142</f>
        <v>1083459.93</v>
      </c>
      <c r="I144" s="445"/>
      <c r="K144" s="530"/>
    </row>
    <row r="145" spans="2:12" s="404" customFormat="1" ht="15.75">
      <c r="B145" s="401"/>
      <c r="C145" s="99"/>
      <c r="D145" s="409"/>
      <c r="E145" s="393"/>
      <c r="F145" s="393"/>
      <c r="G145" s="393"/>
      <c r="H145" s="57"/>
      <c r="I145" s="403"/>
      <c r="K145" s="531"/>
    </row>
    <row r="146" spans="2:12" s="404" customFormat="1" ht="18.75" thickBot="1">
      <c r="B146" s="401"/>
      <c r="C146" s="485" t="s">
        <v>1030</v>
      </c>
      <c r="D146" s="486"/>
      <c r="E146" s="487">
        <f>E74-E144</f>
        <v>10260.260000000009</v>
      </c>
      <c r="F146" s="487">
        <f>F74-F144</f>
        <v>-89380</v>
      </c>
      <c r="G146" s="487">
        <f>G74-G144</f>
        <v>0</v>
      </c>
      <c r="H146" s="487">
        <f>H74-H144</f>
        <v>-79119.739999999991</v>
      </c>
      <c r="I146" s="403"/>
      <c r="K146" s="530"/>
    </row>
    <row r="147" spans="2:12" s="404" customFormat="1" ht="16.5" thickTop="1">
      <c r="B147" s="401"/>
      <c r="C147" s="99"/>
      <c r="D147" s="409"/>
      <c r="E147" s="393"/>
      <c r="F147" s="393"/>
      <c r="G147" s="393"/>
      <c r="H147" s="57"/>
      <c r="I147" s="403"/>
      <c r="K147" s="531"/>
    </row>
    <row r="148" spans="2:12" s="404" customFormat="1" ht="15.75">
      <c r="B148" s="401"/>
      <c r="C148" s="99"/>
      <c r="D148" s="409"/>
      <c r="E148" s="393"/>
      <c r="F148" s="393"/>
      <c r="G148" s="393"/>
      <c r="H148" s="57"/>
      <c r="I148" s="403"/>
      <c r="K148" s="531"/>
    </row>
    <row r="149" spans="2:12" s="458" customFormat="1" ht="18">
      <c r="B149" s="488"/>
      <c r="C149" s="1285" t="s">
        <v>968</v>
      </c>
      <c r="D149" s="1286"/>
      <c r="E149" s="489">
        <f>SUM(E150:E156)</f>
        <v>14060.09</v>
      </c>
      <c r="F149" s="490">
        <f>SUM(F150:F156)</f>
        <v>0</v>
      </c>
      <c r="G149" s="490">
        <f>SUM(G150:G156)</f>
        <v>0</v>
      </c>
      <c r="H149" s="490">
        <f>SUM(H150:H156)</f>
        <v>14060.09</v>
      </c>
      <c r="I149" s="491"/>
      <c r="K149" s="530"/>
    </row>
    <row r="150" spans="2:12" s="398" customFormat="1" ht="18" hidden="1">
      <c r="B150" s="431"/>
      <c r="C150" s="421" t="s">
        <v>287</v>
      </c>
      <c r="D150" s="422" t="s">
        <v>211</v>
      </c>
      <c r="E150" s="423">
        <f>IF('FC-3_CPyG'!I28&lt;0,-'FC-3_CPyG'!I28,0)</f>
        <v>0</v>
      </c>
      <c r="F150" s="424"/>
      <c r="G150" s="424"/>
      <c r="H150" s="425">
        <f>SUM(E150:G150)</f>
        <v>0</v>
      </c>
      <c r="I150" s="432"/>
      <c r="K150" s="530"/>
      <c r="L150" s="398" t="s">
        <v>1031</v>
      </c>
    </row>
    <row r="151" spans="2:12" s="404" customFormat="1" ht="18" hidden="1">
      <c r="B151" s="401"/>
      <c r="C151" s="421" t="s">
        <v>287</v>
      </c>
      <c r="D151" s="422" t="s">
        <v>227</v>
      </c>
      <c r="E151" s="423">
        <f>-'FC-3_CPyG'!I38</f>
        <v>14060.09</v>
      </c>
      <c r="F151" s="424"/>
      <c r="G151" s="424"/>
      <c r="H151" s="425">
        <f t="shared" ref="H151:H156" si="12">SUM(E151:G151)</f>
        <v>14060.09</v>
      </c>
      <c r="I151" s="403"/>
      <c r="K151" s="530"/>
    </row>
    <row r="152" spans="2:12" s="404" customFormat="1" ht="18" hidden="1">
      <c r="B152" s="401"/>
      <c r="C152" s="421" t="s">
        <v>287</v>
      </c>
      <c r="D152" s="422" t="s">
        <v>1032</v>
      </c>
      <c r="E152" s="423">
        <f>IF('FC-3_CPyG'!I41&lt;0,-'FC-3_CPyG'!I41,0)</f>
        <v>0</v>
      </c>
      <c r="F152" s="424"/>
      <c r="G152" s="424"/>
      <c r="H152" s="425">
        <f t="shared" si="12"/>
        <v>0</v>
      </c>
      <c r="I152" s="403"/>
      <c r="K152" s="530"/>
    </row>
    <row r="153" spans="2:12" s="404" customFormat="1" ht="18" hidden="1">
      <c r="B153" s="401"/>
      <c r="C153" s="421" t="s">
        <v>287</v>
      </c>
      <c r="D153" s="422" t="s">
        <v>1033</v>
      </c>
      <c r="E153" s="423">
        <f>IF('FC-3_CPyG'!I52&lt;0,-'FC-3_CPyG'!I52,0)</f>
        <v>0</v>
      </c>
      <c r="F153" s="424"/>
      <c r="G153" s="424"/>
      <c r="H153" s="425">
        <f t="shared" si="12"/>
        <v>0</v>
      </c>
      <c r="I153" s="403"/>
      <c r="K153" s="530"/>
    </row>
    <row r="154" spans="2:12" s="404" customFormat="1" ht="18" hidden="1">
      <c r="B154" s="401"/>
      <c r="C154" s="421" t="s">
        <v>1034</v>
      </c>
      <c r="D154" s="422" t="s">
        <v>1035</v>
      </c>
      <c r="E154" s="423">
        <f>'FC-3_1_INF_ADIC_CPyG'!H61</f>
        <v>0</v>
      </c>
      <c r="F154" s="424"/>
      <c r="G154" s="424"/>
      <c r="H154" s="425">
        <f t="shared" si="12"/>
        <v>0</v>
      </c>
      <c r="I154" s="403"/>
      <c r="K154" s="530"/>
    </row>
    <row r="155" spans="2:12" s="404" customFormat="1" ht="18" hidden="1">
      <c r="B155" s="401"/>
      <c r="C155" s="421" t="s">
        <v>287</v>
      </c>
      <c r="D155" s="422" t="s">
        <v>1036</v>
      </c>
      <c r="E155" s="423">
        <f>IF('FC-3_CPyG'!I53&lt;0,-'FC-3_CPyG'!I53,0)</f>
        <v>0</v>
      </c>
      <c r="F155" s="424"/>
      <c r="G155" s="424"/>
      <c r="H155" s="425">
        <f t="shared" si="12"/>
        <v>0</v>
      </c>
      <c r="I155" s="403"/>
      <c r="K155" s="530"/>
    </row>
    <row r="156" spans="2:12" s="404" customFormat="1" ht="18">
      <c r="B156" s="401"/>
      <c r="C156" s="492"/>
      <c r="D156" s="493"/>
      <c r="E156" s="494"/>
      <c r="F156" s="494"/>
      <c r="G156" s="603"/>
      <c r="H156" s="495">
        <f t="shared" si="12"/>
        <v>0</v>
      </c>
      <c r="I156" s="403"/>
      <c r="K156" s="530"/>
    </row>
    <row r="157" spans="2:12" s="404" customFormat="1" ht="15">
      <c r="B157" s="401"/>
      <c r="C157" s="464"/>
      <c r="D157" s="496"/>
      <c r="E157" s="496"/>
      <c r="F157" s="496"/>
      <c r="G157" s="496"/>
      <c r="H157" s="496"/>
      <c r="I157" s="403"/>
      <c r="K157" s="531"/>
    </row>
    <row r="158" spans="2:12" s="404" customFormat="1" ht="18.75" thickBot="1">
      <c r="B158" s="401"/>
      <c r="C158" s="1277" t="s">
        <v>1037</v>
      </c>
      <c r="D158" s="1278"/>
      <c r="E158" s="466">
        <f>+E144+E149</f>
        <v>1087520.02</v>
      </c>
      <c r="F158" s="466">
        <f t="shared" ref="F158:H158" si="13">+F144+F149</f>
        <v>10000</v>
      </c>
      <c r="G158" s="466">
        <f t="shared" si="13"/>
        <v>0</v>
      </c>
      <c r="H158" s="466">
        <f t="shared" si="13"/>
        <v>1097520.02</v>
      </c>
      <c r="I158" s="403"/>
      <c r="K158" s="530"/>
    </row>
    <row r="159" spans="2:12" s="404" customFormat="1" ht="18">
      <c r="B159" s="401"/>
      <c r="C159" s="497"/>
      <c r="D159" s="497"/>
      <c r="E159" s="498"/>
      <c r="F159" s="498"/>
      <c r="G159" s="498"/>
      <c r="H159" s="498"/>
      <c r="I159" s="403"/>
      <c r="K159" s="531"/>
    </row>
    <row r="160" spans="2:12" s="404" customFormat="1" ht="18.75" thickBot="1">
      <c r="B160" s="401"/>
      <c r="C160" s="485" t="s">
        <v>1038</v>
      </c>
      <c r="D160" s="486"/>
      <c r="E160" s="487">
        <f>+E86-E158</f>
        <v>0</v>
      </c>
      <c r="F160" s="487">
        <f>+F86-F158</f>
        <v>-89380</v>
      </c>
      <c r="G160" s="487">
        <f>+G86-G158</f>
        <v>0</v>
      </c>
      <c r="H160" s="487">
        <f>+H86-H158</f>
        <v>-89380.000000000116</v>
      </c>
      <c r="I160" s="403"/>
      <c r="K160" s="530"/>
    </row>
    <row r="161" spans="2:11" s="404" customFormat="1" ht="15.75" thickTop="1">
      <c r="B161" s="401"/>
      <c r="C161" s="464"/>
      <c r="D161" s="464"/>
      <c r="E161" s="499"/>
      <c r="F161" s="499"/>
      <c r="G161" s="499"/>
      <c r="H161" s="500"/>
      <c r="I161" s="403"/>
      <c r="K161" s="531"/>
    </row>
    <row r="162" spans="2:11" s="404" customFormat="1" ht="18">
      <c r="B162" s="401"/>
      <c r="C162" s="1287" t="s">
        <v>1039</v>
      </c>
      <c r="D162" s="1288"/>
      <c r="E162" s="501">
        <f>E163+E170+E172+E179+E187+E191</f>
        <v>0</v>
      </c>
      <c r="F162" s="501">
        <f>F163+F170+F172+F179+F187+F191</f>
        <v>89379.999999999985</v>
      </c>
      <c r="G162" s="501">
        <f>G163+G170+G172+G179+G187+G191</f>
        <v>0</v>
      </c>
      <c r="H162" s="501">
        <f>H163+H170+H172+H179+H187+H191</f>
        <v>89379.999999999985</v>
      </c>
      <c r="I162" s="403"/>
      <c r="K162" s="530"/>
    </row>
    <row r="163" spans="2:11" s="404" customFormat="1" ht="18" hidden="1">
      <c r="B163" s="401"/>
      <c r="C163" s="502" t="s">
        <v>357</v>
      </c>
      <c r="D163" s="437"/>
      <c r="E163" s="503"/>
      <c r="F163" s="1265">
        <f>SUM(F166:F169)</f>
        <v>14060.09</v>
      </c>
      <c r="G163" s="1265">
        <f>SUM(G166:G169)</f>
        <v>0</v>
      </c>
      <c r="H163" s="1265">
        <f>F163+G163</f>
        <v>14060.09</v>
      </c>
      <c r="I163" s="403"/>
      <c r="K163" s="530"/>
    </row>
    <row r="164" spans="2:11" s="404" customFormat="1" ht="18" hidden="1">
      <c r="B164" s="401"/>
      <c r="C164" s="504" t="s">
        <v>361</v>
      </c>
      <c r="D164" s="437"/>
      <c r="E164" s="503"/>
      <c r="F164" s="1266"/>
      <c r="G164" s="1266"/>
      <c r="H164" s="1266"/>
      <c r="I164" s="403"/>
      <c r="K164" s="530"/>
    </row>
    <row r="165" spans="2:11" s="404" customFormat="1" ht="18" hidden="1">
      <c r="B165" s="401"/>
      <c r="C165" s="504" t="s">
        <v>363</v>
      </c>
      <c r="D165" s="437"/>
      <c r="E165" s="503"/>
      <c r="F165" s="1267"/>
      <c r="G165" s="1267"/>
      <c r="H165" s="1267"/>
      <c r="I165" s="403"/>
      <c r="K165" s="530"/>
    </row>
    <row r="166" spans="2:11" s="404" customFormat="1" ht="18" hidden="1">
      <c r="B166" s="401"/>
      <c r="C166" s="421" t="s">
        <v>492</v>
      </c>
      <c r="D166" s="437" t="s">
        <v>1040</v>
      </c>
      <c r="E166" s="424"/>
      <c r="F166" s="449">
        <f>-'FC-7_INF'!H31</f>
        <v>0</v>
      </c>
      <c r="G166" s="519"/>
      <c r="H166" s="425"/>
      <c r="I166" s="403"/>
      <c r="K166" s="530"/>
    </row>
    <row r="167" spans="2:11" s="404" customFormat="1" ht="18" hidden="1">
      <c r="B167" s="401"/>
      <c r="C167" s="421" t="s">
        <v>492</v>
      </c>
      <c r="D167" s="437" t="s">
        <v>1041</v>
      </c>
      <c r="E167" s="424"/>
      <c r="F167" s="449">
        <f>-'FC-7_INF'!J31</f>
        <v>14060.09</v>
      </c>
      <c r="G167" s="519"/>
      <c r="H167" s="425"/>
      <c r="I167" s="403"/>
      <c r="K167" s="530"/>
    </row>
    <row r="168" spans="2:11" s="404" customFormat="1" ht="18" hidden="1">
      <c r="B168" s="401"/>
      <c r="C168" s="421" t="s">
        <v>492</v>
      </c>
      <c r="D168" s="437" t="s">
        <v>1042</v>
      </c>
      <c r="E168" s="424"/>
      <c r="F168" s="449">
        <f>-'FC-7_INF'!K31</f>
        <v>0</v>
      </c>
      <c r="G168" s="519"/>
      <c r="H168" s="425"/>
      <c r="I168" s="403"/>
      <c r="K168" s="530"/>
    </row>
    <row r="169" spans="2:11" s="404" customFormat="1" ht="18" hidden="1">
      <c r="B169" s="401"/>
      <c r="C169" s="421" t="s">
        <v>492</v>
      </c>
      <c r="D169" s="437" t="s">
        <v>1043</v>
      </c>
      <c r="E169" s="424"/>
      <c r="F169" s="449">
        <f>-'FC-7_INF'!M31</f>
        <v>0</v>
      </c>
      <c r="G169" s="519"/>
      <c r="H169" s="425"/>
      <c r="I169" s="403"/>
      <c r="K169" s="530"/>
    </row>
    <row r="170" spans="2:11" s="404" customFormat="1" ht="18" hidden="1">
      <c r="B170" s="401"/>
      <c r="C170" s="504" t="s">
        <v>25</v>
      </c>
      <c r="D170" s="437"/>
      <c r="E170" s="424"/>
      <c r="F170" s="505">
        <f>F171</f>
        <v>0</v>
      </c>
      <c r="G170" s="505">
        <f>G171</f>
        <v>0</v>
      </c>
      <c r="H170" s="506">
        <f>F170+G170</f>
        <v>0</v>
      </c>
      <c r="I170" s="403"/>
      <c r="K170" s="530"/>
    </row>
    <row r="171" spans="2:11" s="404" customFormat="1" ht="18" hidden="1">
      <c r="B171" s="401"/>
      <c r="C171" s="421" t="s">
        <v>523</v>
      </c>
      <c r="D171" s="437" t="s">
        <v>503</v>
      </c>
      <c r="E171" s="424"/>
      <c r="F171" s="449">
        <f>-'FC-8_INV_FINANCIERAS'!J25-'FC-8_INV_FINANCIERAS'!J34-'FC-8_INV_FINANCIERAS'!J49-'FC-8_INV_FINANCIERAS'!J58</f>
        <v>0</v>
      </c>
      <c r="G171" s="519"/>
      <c r="H171" s="425"/>
      <c r="I171" s="403"/>
      <c r="K171" s="530"/>
    </row>
    <row r="172" spans="2:11" s="404" customFormat="1" ht="18" hidden="1">
      <c r="B172" s="401"/>
      <c r="C172" s="504" t="s">
        <v>1044</v>
      </c>
      <c r="D172" s="437"/>
      <c r="E172" s="424"/>
      <c r="F172" s="505">
        <f>SUM(F173:F178)</f>
        <v>84787.949999999983</v>
      </c>
      <c r="G172" s="505">
        <f>SUM(G174:G178)</f>
        <v>0</v>
      </c>
      <c r="H172" s="506">
        <f>F172+G172</f>
        <v>84787.949999999983</v>
      </c>
      <c r="I172" s="403"/>
      <c r="K172" s="530"/>
    </row>
    <row r="173" spans="2:11" s="404" customFormat="1" ht="18" hidden="1">
      <c r="B173" s="401"/>
      <c r="C173" s="421" t="s">
        <v>1045</v>
      </c>
      <c r="D173" s="437" t="s">
        <v>1046</v>
      </c>
      <c r="E173" s="424"/>
      <c r="F173" s="449">
        <f>'FC-4_ACTIVO'!H23-'FC-4_ACTIVO'!I23</f>
        <v>0</v>
      </c>
      <c r="G173" s="519"/>
      <c r="H173" s="425"/>
      <c r="I173" s="403"/>
      <c r="K173" s="530"/>
    </row>
    <row r="174" spans="2:11" s="404" customFormat="1" ht="18" hidden="1">
      <c r="B174" s="401"/>
      <c r="C174" s="421" t="s">
        <v>1045</v>
      </c>
      <c r="D174" s="437" t="s">
        <v>1047</v>
      </c>
      <c r="E174" s="424"/>
      <c r="F174" s="449">
        <f>'FC-4_ACTIVO'!H26-'FC-4_ACTIVO'!I26</f>
        <v>500</v>
      </c>
      <c r="G174" s="519"/>
      <c r="H174" s="425"/>
      <c r="I174" s="403"/>
      <c r="K174" s="530"/>
    </row>
    <row r="175" spans="2:11" s="404" customFormat="1" ht="18" hidden="1">
      <c r="B175" s="401"/>
      <c r="C175" s="421" t="s">
        <v>1045</v>
      </c>
      <c r="D175" s="437" t="s">
        <v>1048</v>
      </c>
      <c r="E175" s="424"/>
      <c r="F175" s="449">
        <f>'FC-4_ACTIVO'!H27-'FC-4_ACTIVO'!I27</f>
        <v>0</v>
      </c>
      <c r="G175" s="519"/>
      <c r="H175" s="425"/>
      <c r="I175" s="403"/>
      <c r="K175" s="530"/>
    </row>
    <row r="176" spans="2:11" s="404" customFormat="1" ht="18" hidden="1">
      <c r="B176" s="401"/>
      <c r="C176" s="421" t="s">
        <v>1045</v>
      </c>
      <c r="D176" s="437" t="s">
        <v>1049</v>
      </c>
      <c r="E176" s="424"/>
      <c r="F176" s="449">
        <f>'FC-4_ACTIVO'!H28-'FC-4_ACTIVO'!I28</f>
        <v>202330.44</v>
      </c>
      <c r="G176" s="519"/>
      <c r="H176" s="425"/>
      <c r="I176" s="403"/>
      <c r="K176" s="530"/>
    </row>
    <row r="177" spans="2:11" s="404" customFormat="1" ht="18" hidden="1">
      <c r="B177" s="401"/>
      <c r="C177" s="421" t="s">
        <v>1045</v>
      </c>
      <c r="D177" s="437" t="s">
        <v>1050</v>
      </c>
      <c r="E177" s="424"/>
      <c r="F177" s="449">
        <f>'FC-4_ACTIVO'!H33-'FC-4_ACTIVO'!I33</f>
        <v>-44.599999999999909</v>
      </c>
      <c r="G177" s="519"/>
      <c r="H177" s="425"/>
      <c r="I177" s="403"/>
      <c r="K177" s="530"/>
    </row>
    <row r="178" spans="2:11" s="404" customFormat="1" ht="18" hidden="1">
      <c r="B178" s="401"/>
      <c r="C178" s="421" t="s">
        <v>1045</v>
      </c>
      <c r="D178" s="437" t="s">
        <v>1051</v>
      </c>
      <c r="E178" s="424"/>
      <c r="F178" s="449">
        <f>'FC-4_ACTIVO'!H34-'FC-4_ACTIVO'!I34</f>
        <v>-117997.89000000001</v>
      </c>
      <c r="G178" s="519"/>
      <c r="H178" s="425"/>
      <c r="I178" s="403"/>
      <c r="K178" s="530"/>
    </row>
    <row r="179" spans="2:11" s="404" customFormat="1" ht="18" hidden="1">
      <c r="B179" s="401"/>
      <c r="C179" s="504" t="s">
        <v>1052</v>
      </c>
      <c r="D179" s="437"/>
      <c r="E179" s="424"/>
      <c r="F179" s="505">
        <f>SUM(F180:F186)</f>
        <v>-5668.2099999999991</v>
      </c>
      <c r="G179" s="505">
        <f>SUM(G180:G186)</f>
        <v>0</v>
      </c>
      <c r="H179" s="506">
        <f>F179+G179</f>
        <v>-5668.2099999999991</v>
      </c>
      <c r="I179" s="403"/>
      <c r="K179" s="530"/>
    </row>
    <row r="180" spans="2:11" s="404" customFormat="1" ht="18" hidden="1">
      <c r="B180" s="401"/>
      <c r="C180" s="421" t="s">
        <v>1053</v>
      </c>
      <c r="D180" s="437" t="s">
        <v>1054</v>
      </c>
      <c r="E180" s="424"/>
      <c r="F180" s="449">
        <f>'FC-4_PASIVO'!I28-'FC-4_PASIVO'!H28</f>
        <v>0</v>
      </c>
      <c r="G180" s="505"/>
      <c r="H180" s="506"/>
      <c r="I180" s="403"/>
      <c r="K180" s="530"/>
    </row>
    <row r="181" spans="2:11" s="404" customFormat="1" ht="18" hidden="1">
      <c r="B181" s="401"/>
      <c r="C181" s="421" t="s">
        <v>1053</v>
      </c>
      <c r="D181" s="437" t="s">
        <v>1055</v>
      </c>
      <c r="E181" s="424"/>
      <c r="F181" s="449">
        <f>'FC-4_PASIVO'!I42-'FC-4_PASIVO'!H42</f>
        <v>0</v>
      </c>
      <c r="G181" s="505"/>
      <c r="H181" s="506"/>
      <c r="I181" s="403"/>
      <c r="K181" s="530"/>
    </row>
    <row r="182" spans="2:11" s="404" customFormat="1" ht="18" hidden="1">
      <c r="B182" s="401"/>
      <c r="C182" s="421" t="s">
        <v>1053</v>
      </c>
      <c r="D182" s="437" t="s">
        <v>1056</v>
      </c>
      <c r="E182" s="424"/>
      <c r="F182" s="449">
        <f>'FC-9_TRANS_SUBV'!M45</f>
        <v>0</v>
      </c>
      <c r="G182" s="519"/>
      <c r="H182" s="425"/>
      <c r="I182" s="403"/>
      <c r="K182" s="530"/>
    </row>
    <row r="183" spans="2:11" s="404" customFormat="1" ht="18" hidden="1">
      <c r="B183" s="401"/>
      <c r="C183" s="421" t="s">
        <v>1053</v>
      </c>
      <c r="D183" s="437" t="s">
        <v>1057</v>
      </c>
      <c r="E183" s="424"/>
      <c r="F183" s="449">
        <f>'FC-4_PASIVO'!I39-'FC-4_PASIVO'!H39</f>
        <v>0</v>
      </c>
      <c r="G183" s="519"/>
      <c r="H183" s="425"/>
      <c r="I183" s="403"/>
      <c r="K183" s="530"/>
    </row>
    <row r="184" spans="2:11" s="404" customFormat="1" ht="18" hidden="1">
      <c r="B184" s="401"/>
      <c r="C184" s="421" t="s">
        <v>1053</v>
      </c>
      <c r="D184" s="437" t="s">
        <v>1058</v>
      </c>
      <c r="E184" s="424"/>
      <c r="F184" s="449">
        <f>'FC-4_PASIVO'!I50-'FC-4_PASIVO'!H50</f>
        <v>0</v>
      </c>
      <c r="G184" s="519"/>
      <c r="H184" s="425"/>
      <c r="I184" s="403"/>
      <c r="K184" s="530"/>
    </row>
    <row r="185" spans="2:11" s="404" customFormat="1" ht="18" hidden="1">
      <c r="B185" s="401"/>
      <c r="C185" s="421" t="s">
        <v>1053</v>
      </c>
      <c r="D185" s="437" t="s">
        <v>1059</v>
      </c>
      <c r="E185" s="424"/>
      <c r="F185" s="449">
        <f>'FC-4_PASIVO'!I51-'FC-4_PASIVO'!H51</f>
        <v>-5668.2099999999991</v>
      </c>
      <c r="G185" s="519"/>
      <c r="H185" s="425"/>
      <c r="I185" s="403"/>
      <c r="K185" s="530"/>
    </row>
    <row r="186" spans="2:11" s="404" customFormat="1" ht="18" hidden="1">
      <c r="B186" s="401"/>
      <c r="C186" s="421" t="s">
        <v>1053</v>
      </c>
      <c r="D186" s="437" t="s">
        <v>1050</v>
      </c>
      <c r="E186" s="424"/>
      <c r="F186" s="449">
        <f>'FC-4_PASIVO'!I56-'FC-4_PASIVO'!H56</f>
        <v>0</v>
      </c>
      <c r="G186" s="519"/>
      <c r="H186" s="425"/>
      <c r="I186" s="403"/>
      <c r="K186" s="530"/>
    </row>
    <row r="187" spans="2:11" s="404" customFormat="1" ht="18" hidden="1">
      <c r="B187" s="401"/>
      <c r="C187" s="504" t="s">
        <v>1060</v>
      </c>
      <c r="D187" s="437"/>
      <c r="E187" s="424"/>
      <c r="F187" s="505">
        <f>F188+F189+F190</f>
        <v>-3799.83</v>
      </c>
      <c r="G187" s="505">
        <f>G188+G189+G190</f>
        <v>0</v>
      </c>
      <c r="H187" s="506">
        <f>F187+G187</f>
        <v>-3799.83</v>
      </c>
      <c r="I187" s="403"/>
      <c r="K187" s="530"/>
    </row>
    <row r="188" spans="2:11" s="404" customFormat="1" ht="18" hidden="1">
      <c r="B188" s="401"/>
      <c r="C188" s="421" t="s">
        <v>1053</v>
      </c>
      <c r="D188" s="437" t="s">
        <v>1061</v>
      </c>
      <c r="E188" s="424"/>
      <c r="F188" s="449">
        <f>'FC-9_TRANS_SUBV'!L45</f>
        <v>-3799.83</v>
      </c>
      <c r="G188" s="449">
        <v>0</v>
      </c>
      <c r="H188" s="425"/>
      <c r="I188" s="403"/>
      <c r="K188" s="530"/>
    </row>
    <row r="189" spans="2:11" s="404" customFormat="1" ht="18" hidden="1">
      <c r="B189" s="401"/>
      <c r="C189" s="421" t="s">
        <v>1062</v>
      </c>
      <c r="D189" s="437" t="s">
        <v>1063</v>
      </c>
      <c r="E189" s="424"/>
      <c r="F189" s="449">
        <f>'FC-3_CPyG'!I80+'FC-3_CPyG'!I81</f>
        <v>0</v>
      </c>
      <c r="G189" s="449"/>
      <c r="H189" s="631"/>
      <c r="I189" s="403"/>
      <c r="K189" s="530"/>
    </row>
    <row r="190" spans="2:11" s="404" customFormat="1" ht="18" hidden="1">
      <c r="B190" s="401"/>
      <c r="C190" s="421"/>
      <c r="D190" s="437"/>
      <c r="E190" s="424"/>
      <c r="F190" s="449"/>
      <c r="G190" s="449"/>
      <c r="H190" s="631"/>
      <c r="I190" s="403"/>
      <c r="K190" s="530"/>
    </row>
    <row r="191" spans="2:11" s="404" customFormat="1" ht="18" hidden="1">
      <c r="B191" s="401"/>
      <c r="C191" s="504" t="s">
        <v>1064</v>
      </c>
      <c r="D191" s="437"/>
      <c r="E191" s="424"/>
      <c r="F191" s="505">
        <f>SUM(F192:F196)</f>
        <v>0</v>
      </c>
      <c r="G191" s="505">
        <f>SUM(G192:G196)</f>
        <v>0</v>
      </c>
      <c r="H191" s="505">
        <f>SUM(F191:G191)</f>
        <v>0</v>
      </c>
      <c r="I191" s="403"/>
      <c r="K191" s="530"/>
    </row>
    <row r="192" spans="2:11" s="404" customFormat="1" ht="18" hidden="1">
      <c r="B192" s="401"/>
      <c r="C192" s="525"/>
      <c r="D192" s="526"/>
      <c r="E192" s="424"/>
      <c r="F192" s="519"/>
      <c r="G192" s="519"/>
      <c r="H192" s="425"/>
      <c r="I192" s="403"/>
      <c r="K192" s="530"/>
    </row>
    <row r="193" spans="2:11" s="404" customFormat="1" ht="18" hidden="1">
      <c r="B193" s="401"/>
      <c r="C193" s="525"/>
      <c r="D193" s="526"/>
      <c r="E193" s="424"/>
      <c r="F193" s="519"/>
      <c r="G193" s="519"/>
      <c r="H193" s="425"/>
      <c r="I193" s="403"/>
      <c r="K193" s="530"/>
    </row>
    <row r="194" spans="2:11" s="404" customFormat="1" ht="18" hidden="1">
      <c r="B194" s="401"/>
      <c r="C194" s="525"/>
      <c r="D194" s="526"/>
      <c r="E194" s="424"/>
      <c r="F194" s="519"/>
      <c r="G194" s="519"/>
      <c r="H194" s="425"/>
      <c r="I194" s="403"/>
      <c r="K194" s="530"/>
    </row>
    <row r="195" spans="2:11" s="404" customFormat="1" ht="18" hidden="1">
      <c r="B195" s="401"/>
      <c r="C195" s="527"/>
      <c r="D195" s="526"/>
      <c r="E195" s="482"/>
      <c r="F195" s="521"/>
      <c r="G195" s="521"/>
      <c r="H195" s="425"/>
      <c r="I195" s="403"/>
      <c r="K195" s="530"/>
    </row>
    <row r="196" spans="2:11" s="404" customFormat="1" ht="18.75" thickBot="1">
      <c r="B196" s="401"/>
      <c r="C196" s="528"/>
      <c r="D196" s="529"/>
      <c r="E196" s="507"/>
      <c r="F196" s="524"/>
      <c r="G196" s="524"/>
      <c r="H196" s="508"/>
      <c r="I196" s="403"/>
      <c r="K196" s="530"/>
    </row>
    <row r="197" spans="2:11" s="404" customFormat="1" ht="15">
      <c r="B197" s="401"/>
      <c r="C197" s="464"/>
      <c r="D197" s="496"/>
      <c r="E197" s="496"/>
      <c r="F197" s="496"/>
      <c r="G197" s="496"/>
      <c r="H197" s="500"/>
      <c r="I197" s="403"/>
    </row>
    <row r="198" spans="2:11" ht="15.75" thickBot="1">
      <c r="B198" s="509"/>
      <c r="C198" s="1276"/>
      <c r="D198" s="1276"/>
      <c r="E198" s="510"/>
      <c r="F198" s="510"/>
      <c r="G198" s="510"/>
      <c r="H198" s="51"/>
      <c r="I198" s="511"/>
      <c r="K198" s="404"/>
    </row>
    <row r="199" spans="2:11" ht="12.75"/>
    <row r="200" spans="2:11" ht="12.75">
      <c r="C200" s="512" t="s">
        <v>39</v>
      </c>
      <c r="H200" s="30" t="s">
        <v>1065</v>
      </c>
    </row>
    <row r="201" spans="2:11" ht="12.75">
      <c r="C201" s="512" t="s">
        <v>41</v>
      </c>
    </row>
    <row r="202" spans="2:11" ht="12.75">
      <c r="C202" s="512" t="s">
        <v>42</v>
      </c>
    </row>
    <row r="203" spans="2:11" ht="12.75">
      <c r="C203" s="512" t="s">
        <v>43</v>
      </c>
    </row>
    <row r="204" spans="2:11" ht="12.75">
      <c r="C204" s="512" t="s">
        <v>44</v>
      </c>
    </row>
    <row r="205" spans="2:11" ht="12.75"/>
    <row r="206" spans="2:11" ht="12.75"/>
    <row r="207" spans="2:11" ht="12.75"/>
    <row r="208" spans="2:11" s="398" customFormat="1" ht="20.25">
      <c r="C208" s="513" t="s">
        <v>1066</v>
      </c>
      <c r="D208" s="33"/>
      <c r="E208" s="391"/>
      <c r="F208" s="514"/>
      <c r="G208" s="514"/>
    </row>
    <row r="209" spans="3:5" ht="12.75"/>
    <row r="210" spans="3:5" ht="12.75"/>
    <row r="211" spans="3:5" ht="18.75" thickBot="1">
      <c r="C211" s="485" t="s">
        <v>1038</v>
      </c>
      <c r="D211" s="486"/>
      <c r="E211" s="487"/>
    </row>
    <row r="212" spans="3:5" ht="23.1" customHeight="1" thickTop="1">
      <c r="D212" s="33" t="s">
        <v>1067</v>
      </c>
      <c r="E212" s="391">
        <f>+E160</f>
        <v>0</v>
      </c>
    </row>
    <row r="213" spans="3:5" ht="23.1" customHeight="1">
      <c r="D213" s="33" t="s">
        <v>1068</v>
      </c>
      <c r="E213" s="391">
        <f>'FC-3_CPyG'!I60</f>
        <v>-1.0732037480920553E-10</v>
      </c>
    </row>
    <row r="214" spans="3:5" ht="23.1" customHeight="1">
      <c r="E214" s="515" t="str">
        <f>IF(ROUND(E212-E213,2)=0,"OK","Mal, revísalo")</f>
        <v>OK</v>
      </c>
    </row>
    <row r="216" spans="3:5" ht="23.1" customHeight="1">
      <c r="D216" s="33" t="s">
        <v>1069</v>
      </c>
      <c r="E216" s="391">
        <f>+H160</f>
        <v>-89380.000000000116</v>
      </c>
    </row>
    <row r="217" spans="3:5" ht="23.1" customHeight="1">
      <c r="D217" s="33" t="s">
        <v>1070</v>
      </c>
      <c r="E217" s="391">
        <f>+H162</f>
        <v>89379.999999999985</v>
      </c>
    </row>
    <row r="218" spans="3:5" ht="23.1" customHeight="1">
      <c r="E218" s="515" t="str">
        <f>IF(ROUND(E216+E217,2)=0,"OK","Revísalo")</f>
        <v>OK</v>
      </c>
    </row>
    <row r="219" spans="3:5" ht="23.1" customHeight="1">
      <c r="E219" s="515"/>
    </row>
    <row r="220" spans="3:5" ht="23.1" customHeight="1">
      <c r="E220" s="515"/>
    </row>
    <row r="221" spans="3:5" ht="23.1" customHeight="1" thickBot="1">
      <c r="C221" s="485" t="s">
        <v>1071</v>
      </c>
      <c r="D221" s="486"/>
      <c r="E221" s="487"/>
    </row>
    <row r="222" spans="3:5" ht="23.1" customHeight="1" thickTop="1">
      <c r="C222" s="886" t="s">
        <v>598</v>
      </c>
      <c r="D222" s="33" t="s">
        <v>1072</v>
      </c>
      <c r="E222" s="391">
        <f>'FC-9_TRANS_SUBV'!O43</f>
        <v>0</v>
      </c>
    </row>
    <row r="223" spans="3:5" ht="23.1" customHeight="1">
      <c r="C223" s="886" t="s">
        <v>598</v>
      </c>
      <c r="D223" s="33" t="s">
        <v>1073</v>
      </c>
      <c r="E223" s="391">
        <f>'FC-9_TRANS_SUBV'!K85</f>
        <v>209000</v>
      </c>
    </row>
    <row r="224" spans="3:5" ht="23.1" customHeight="1">
      <c r="C224" s="886" t="s">
        <v>598</v>
      </c>
      <c r="D224" s="33" t="s">
        <v>1074</v>
      </c>
      <c r="E224" s="391">
        <f>'FC-9_TRANS_SUBV'!K104</f>
        <v>397160.19</v>
      </c>
    </row>
    <row r="225" spans="3:6" ht="23.1" customHeight="1" thickBot="1">
      <c r="D225" s="400" t="s">
        <v>1075</v>
      </c>
      <c r="E225" s="887">
        <f>SUM(E222:E224)</f>
        <v>606160.18999999994</v>
      </c>
    </row>
    <row r="226" spans="3:6" ht="23.1" customHeight="1">
      <c r="E226" s="515"/>
    </row>
    <row r="227" spans="3:6" ht="23.1" customHeight="1">
      <c r="C227" s="400" t="s">
        <v>1076</v>
      </c>
    </row>
    <row r="228" spans="3:6" ht="23.1" customHeight="1">
      <c r="C228" s="888" t="s">
        <v>362</v>
      </c>
      <c r="D228" s="33" t="s">
        <v>945</v>
      </c>
      <c r="E228" s="391">
        <f>H30</f>
        <v>606160.18999999994</v>
      </c>
    </row>
    <row r="229" spans="3:6" ht="23.1" customHeight="1">
      <c r="C229" s="888" t="s">
        <v>368</v>
      </c>
      <c r="D229" s="33" t="s">
        <v>949</v>
      </c>
      <c r="E229" s="391">
        <f>H49</f>
        <v>0</v>
      </c>
    </row>
    <row r="230" spans="3:6" ht="23.1" customHeight="1">
      <c r="C230" s="888" t="s">
        <v>953</v>
      </c>
      <c r="D230" s="33" t="s">
        <v>1077</v>
      </c>
      <c r="E230" s="391">
        <f>H52+H53+H54</f>
        <v>0</v>
      </c>
      <c r="F230" s="889" t="str">
        <f>IF((E230-E231-E232)=0,"Ok","Revísalo")</f>
        <v>Ok</v>
      </c>
    </row>
    <row r="231" spans="3:6" ht="23.1" customHeight="1">
      <c r="C231" s="888"/>
      <c r="D231" s="890" t="s">
        <v>1078</v>
      </c>
      <c r="E231" s="891">
        <f>'FC-10_DEUDAS'!R77</f>
        <v>0</v>
      </c>
      <c r="F231" s="33"/>
    </row>
    <row r="232" spans="3:6" ht="23.1" customHeight="1">
      <c r="C232" s="888"/>
      <c r="D232" s="890" t="s">
        <v>1079</v>
      </c>
      <c r="E232" s="891">
        <f>'FC-10_DEUDAS'!R80</f>
        <v>0</v>
      </c>
      <c r="F232" s="33"/>
    </row>
    <row r="233" spans="3:6" ht="23.1" customHeight="1" thickBot="1">
      <c r="E233" s="887">
        <f>SUM(E228:E230)</f>
        <v>606160.18999999994</v>
      </c>
      <c r="F233" s="33"/>
    </row>
    <row r="234" spans="3:6" ht="23.1" customHeight="1">
      <c r="E234" s="515" t="str">
        <f>IF(ROUND(E225,2)-ROUND(E233,2)=0,"Ok","Revísalo")</f>
        <v>Ok</v>
      </c>
      <c r="F234" s="33"/>
    </row>
  </sheetData>
  <sheetProtection algorithmName="SHA-512" hashValue="5IILcPs8Ouwbfie+F1CpkS/s6CC4f5SiaXKZHeUTwjxB24wyKZjuD9YwJ969syi0/bqSMBf3ROtmrlv/Y6RXUg==" saltValue="fo8xolw//fySTFEUasb60g==" spinCount="100000" sheet="1" scenarios="1" selectLockedCells="1" selectUnlockedCells="1"/>
  <mergeCells count="21">
    <mergeCell ref="C198:D198"/>
    <mergeCell ref="C158:D158"/>
    <mergeCell ref="C72:D72"/>
    <mergeCell ref="C74:D74"/>
    <mergeCell ref="C76:D76"/>
    <mergeCell ref="C86:D86"/>
    <mergeCell ref="C89:D89"/>
    <mergeCell ref="C113:D113"/>
    <mergeCell ref="C124:D124"/>
    <mergeCell ref="C142:D142"/>
    <mergeCell ref="C144:D144"/>
    <mergeCell ref="C149:D149"/>
    <mergeCell ref="C162:D162"/>
    <mergeCell ref="F163:F165"/>
    <mergeCell ref="H163:H165"/>
    <mergeCell ref="G163:G165"/>
    <mergeCell ref="C54:D54"/>
    <mergeCell ref="H6:H7"/>
    <mergeCell ref="D9:H9"/>
    <mergeCell ref="C14:D14"/>
    <mergeCell ref="C43:D4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Z69"/>
  <sheetViews>
    <sheetView workbookViewId="0">
      <selection activeCell="I26" sqref="I26"/>
    </sheetView>
  </sheetViews>
  <sheetFormatPr baseColWidth="10" defaultColWidth="10.6640625" defaultRowHeight="23.1" customHeight="1"/>
  <cols>
    <col min="1" max="1" width="10.6640625" style="149"/>
    <col min="2" max="2" width="4.6640625" style="2" bestFit="1" customWidth="1"/>
    <col min="3" max="3" width="3.109375" style="2" customWidth="1"/>
    <col min="4" max="4" width="12.109375" style="2" customWidth="1"/>
    <col min="5" max="5" width="7.5546875" style="2" customWidth="1"/>
    <col min="6" max="6" width="15.33203125" style="2" customWidth="1"/>
    <col min="7" max="8" width="18.33203125" style="2" customWidth="1"/>
    <col min="9" max="9" width="13" style="2" customWidth="1"/>
    <col min="10" max="10" width="3.5546875" style="2" customWidth="1"/>
    <col min="11" max="16384" width="10.6640625" style="2"/>
  </cols>
  <sheetData>
    <row r="1" spans="1:26" ht="23.1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3.1" customHeight="1">
      <c r="A2" s="369"/>
      <c r="B2" s="369"/>
      <c r="C2" s="369"/>
      <c r="D2" s="369"/>
      <c r="E2" s="347" t="str">
        <f>_GENERAL!D2</f>
        <v>Área de Presidencia, Hacienda y Modernización</v>
      </c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</row>
    <row r="3" spans="1:26" ht="23.1" customHeight="1">
      <c r="A3" s="369"/>
      <c r="B3" s="369"/>
      <c r="C3" s="369"/>
      <c r="D3" s="369"/>
      <c r="E3" s="347" t="str">
        <f>_GENERAL!D3</f>
        <v>Dirección Insular de Hacienda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ht="23.1" customHeight="1" thickBot="1">
      <c r="A4" s="369"/>
      <c r="B4" s="369" t="s">
        <v>100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9" customHeight="1">
      <c r="A5" s="975"/>
      <c r="B5" s="369"/>
      <c r="C5" s="963"/>
      <c r="D5" s="964"/>
      <c r="E5" s="964"/>
      <c r="F5" s="964"/>
      <c r="G5" s="964"/>
      <c r="H5" s="964"/>
      <c r="I5" s="964"/>
      <c r="J5" s="965"/>
      <c r="K5" s="369"/>
      <c r="L5" s="757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  <c r="Z5" s="369"/>
    </row>
    <row r="6" spans="1:26" ht="30" customHeight="1">
      <c r="A6" s="975"/>
      <c r="B6" s="369"/>
      <c r="C6" s="966"/>
      <c r="D6" s="1" t="s">
        <v>2</v>
      </c>
      <c r="E6" s="9"/>
      <c r="F6" s="9"/>
      <c r="G6" s="9"/>
      <c r="H6" s="369"/>
      <c r="I6" s="1140">
        <f>ejercicio</f>
        <v>2022</v>
      </c>
      <c r="J6" s="967"/>
      <c r="K6" s="369"/>
      <c r="L6" s="174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7"/>
      <c r="Z6" s="369"/>
    </row>
    <row r="7" spans="1:26" ht="30" customHeight="1">
      <c r="A7" s="975"/>
      <c r="B7" s="369"/>
      <c r="C7" s="966"/>
      <c r="D7" s="1" t="s">
        <v>3</v>
      </c>
      <c r="E7" s="369"/>
      <c r="F7" s="369"/>
      <c r="G7" s="369"/>
      <c r="H7" s="369"/>
      <c r="I7" s="1140">
        <v>2018</v>
      </c>
      <c r="J7" s="967"/>
      <c r="K7" s="369"/>
      <c r="L7" s="178"/>
      <c r="M7" s="175" t="s">
        <v>101</v>
      </c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1"/>
      <c r="Z7" s="369"/>
    </row>
    <row r="8" spans="1:26" ht="30" customHeight="1">
      <c r="A8" s="975"/>
      <c r="B8" s="369"/>
      <c r="C8" s="966"/>
      <c r="D8" s="369"/>
      <c r="E8" s="369"/>
      <c r="F8" s="369"/>
      <c r="G8" s="369"/>
      <c r="H8" s="369"/>
      <c r="I8" s="7"/>
      <c r="J8" s="967"/>
      <c r="K8" s="369"/>
      <c r="L8" s="762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4"/>
      <c r="Z8" s="369"/>
    </row>
    <row r="9" spans="1:26" ht="30" customHeight="1">
      <c r="A9" s="900" t="s">
        <v>46</v>
      </c>
      <c r="B9" s="369"/>
      <c r="C9" s="966"/>
      <c r="D9" s="21" t="s">
        <v>47</v>
      </c>
      <c r="E9" s="1145" t="str">
        <f>Entidad</f>
        <v>FUNDACION CANARIA TENERIFE RURAL</v>
      </c>
      <c r="F9" s="1145"/>
      <c r="G9" s="1145"/>
      <c r="H9" s="1145"/>
      <c r="I9" s="1145"/>
      <c r="J9" s="967"/>
      <c r="K9" s="369"/>
      <c r="L9" s="762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4"/>
      <c r="Z9" s="369"/>
    </row>
    <row r="10" spans="1:26" ht="6.95" customHeight="1">
      <c r="A10" s="975"/>
      <c r="B10" s="369"/>
      <c r="C10" s="966"/>
      <c r="D10" s="369"/>
      <c r="E10" s="369"/>
      <c r="F10" s="369"/>
      <c r="G10" s="369"/>
      <c r="H10" s="369"/>
      <c r="I10" s="968"/>
      <c r="J10" s="967"/>
      <c r="K10" s="369"/>
      <c r="L10" s="762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4"/>
      <c r="Z10" s="369"/>
    </row>
    <row r="11" spans="1:26" s="1" customFormat="1" ht="30" customHeight="1">
      <c r="A11" s="901"/>
      <c r="C11" s="10"/>
      <c r="D11" s="4" t="s">
        <v>102</v>
      </c>
      <c r="E11" s="4"/>
      <c r="F11" s="4"/>
      <c r="G11" s="4"/>
      <c r="H11" s="4"/>
      <c r="I11" s="4"/>
      <c r="J11" s="11"/>
      <c r="L11" s="762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4"/>
    </row>
    <row r="12" spans="1:26" ht="23.1" customHeight="1">
      <c r="A12" s="901"/>
      <c r="B12" s="369"/>
      <c r="C12" s="966"/>
      <c r="D12" s="369"/>
      <c r="E12" s="369"/>
      <c r="F12" s="369"/>
      <c r="G12" s="369"/>
      <c r="H12" s="369"/>
      <c r="I12" s="369"/>
      <c r="J12" s="967"/>
      <c r="K12" s="369"/>
      <c r="L12" s="762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4"/>
      <c r="Z12" s="369"/>
    </row>
    <row r="13" spans="1:26" ht="23.1" customHeight="1">
      <c r="A13" s="901"/>
      <c r="B13" s="369"/>
      <c r="C13" s="966"/>
      <c r="D13" s="5" t="s">
        <v>103</v>
      </c>
      <c r="E13" s="5"/>
      <c r="F13" s="5"/>
      <c r="G13" s="5"/>
      <c r="H13" s="5"/>
      <c r="I13" s="206">
        <f>+I15+I19</f>
        <v>9</v>
      </c>
      <c r="J13" s="967"/>
      <c r="K13" s="369"/>
      <c r="L13" s="765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766"/>
      <c r="X13" s="766"/>
      <c r="Y13" s="767"/>
      <c r="Z13" s="369"/>
    </row>
    <row r="14" spans="1:26" ht="23.1" customHeight="1">
      <c r="A14" s="902"/>
      <c r="B14" s="369"/>
      <c r="C14" s="966"/>
      <c r="D14" s="369"/>
      <c r="E14" s="369"/>
      <c r="F14" s="369"/>
      <c r="G14" s="369"/>
      <c r="H14" s="369"/>
      <c r="I14" s="369"/>
      <c r="J14" s="967"/>
      <c r="K14" s="369"/>
      <c r="L14" s="765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7"/>
      <c r="Z14" s="369"/>
    </row>
    <row r="15" spans="1:26" ht="23.1" customHeight="1">
      <c r="A15" s="903"/>
      <c r="B15" s="369"/>
      <c r="C15" s="966"/>
      <c r="D15" s="369"/>
      <c r="E15" s="207" t="s">
        <v>104</v>
      </c>
      <c r="F15" s="207"/>
      <c r="G15" s="207"/>
      <c r="H15" s="207"/>
      <c r="I15" s="208">
        <f>I16+I17</f>
        <v>4</v>
      </c>
      <c r="J15" s="967"/>
      <c r="K15" s="369"/>
      <c r="L15" s="765"/>
      <c r="M15" s="766"/>
      <c r="N15" s="766"/>
      <c r="O15" s="766"/>
      <c r="P15" s="766"/>
      <c r="Q15" s="766"/>
      <c r="R15" s="766"/>
      <c r="S15" s="766"/>
      <c r="T15" s="766"/>
      <c r="U15" s="766"/>
      <c r="V15" s="766"/>
      <c r="W15" s="766"/>
      <c r="X15" s="766"/>
      <c r="Y15" s="767"/>
      <c r="Z15" s="369"/>
    </row>
    <row r="16" spans="1:26" ht="23.1" customHeight="1">
      <c r="A16" s="903"/>
      <c r="B16" s="369"/>
      <c r="C16" s="966"/>
      <c r="D16" s="369"/>
      <c r="E16" s="369"/>
      <c r="F16" s="987" t="s">
        <v>105</v>
      </c>
      <c r="G16" s="987"/>
      <c r="H16" s="987"/>
      <c r="I16" s="988">
        <v>4</v>
      </c>
      <c r="J16" s="967"/>
      <c r="K16" s="369"/>
      <c r="L16" s="765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7"/>
      <c r="Z16" s="372">
        <f>IF(I16="",1,0)</f>
        <v>0</v>
      </c>
    </row>
    <row r="17" spans="1:26" ht="23.1" customHeight="1">
      <c r="A17" s="903"/>
      <c r="B17" s="369"/>
      <c r="C17" s="966"/>
      <c r="D17" s="369"/>
      <c r="E17" s="369"/>
      <c r="F17" s="987" t="s">
        <v>106</v>
      </c>
      <c r="G17" s="987"/>
      <c r="H17" s="987"/>
      <c r="I17" s="988"/>
      <c r="J17" s="967"/>
      <c r="K17" s="369"/>
      <c r="L17" s="765"/>
      <c r="M17" s="766"/>
      <c r="N17" s="766"/>
      <c r="O17" s="766"/>
      <c r="P17" s="766"/>
      <c r="Q17" s="766"/>
      <c r="R17" s="766"/>
      <c r="S17" s="766"/>
      <c r="T17" s="766"/>
      <c r="U17" s="766"/>
      <c r="V17" s="766"/>
      <c r="W17" s="766"/>
      <c r="X17" s="766"/>
      <c r="Y17" s="767"/>
      <c r="Z17" s="372"/>
    </row>
    <row r="18" spans="1:26" ht="23.1" customHeight="1">
      <c r="A18" s="903"/>
      <c r="B18" s="369"/>
      <c r="C18" s="966"/>
      <c r="D18" s="369"/>
      <c r="E18" s="369"/>
      <c r="F18" s="369"/>
      <c r="G18" s="369"/>
      <c r="H18" s="369"/>
      <c r="I18" s="369"/>
      <c r="J18" s="967"/>
      <c r="K18" s="369"/>
      <c r="L18" s="765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7"/>
      <c r="Z18" s="372"/>
    </row>
    <row r="19" spans="1:26" ht="23.1" customHeight="1">
      <c r="A19" s="903"/>
      <c r="B19" s="369"/>
      <c r="C19" s="966"/>
      <c r="D19" s="369"/>
      <c r="E19" s="207" t="s">
        <v>107</v>
      </c>
      <c r="F19" s="207"/>
      <c r="G19" s="207"/>
      <c r="H19" s="207"/>
      <c r="I19" s="209">
        <v>5</v>
      </c>
      <c r="J19" s="967"/>
      <c r="K19" s="369"/>
      <c r="L19" s="765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7"/>
      <c r="Z19" s="372"/>
    </row>
    <row r="20" spans="1:26" ht="23.1" customHeight="1">
      <c r="A20" s="903"/>
      <c r="B20" s="369"/>
      <c r="C20" s="966"/>
      <c r="D20" s="369"/>
      <c r="E20" s="369"/>
      <c r="F20" s="369"/>
      <c r="G20" s="369"/>
      <c r="H20" s="369"/>
      <c r="I20" s="369"/>
      <c r="J20" s="967"/>
      <c r="K20" s="369"/>
      <c r="L20" s="765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7"/>
      <c r="Z20" s="372"/>
    </row>
    <row r="21" spans="1:26" ht="23.1" customHeight="1">
      <c r="A21" s="903"/>
      <c r="B21" s="369"/>
      <c r="C21" s="966"/>
      <c r="D21" s="369"/>
      <c r="E21" s="369"/>
      <c r="F21" s="369"/>
      <c r="G21" s="369"/>
      <c r="H21" s="369"/>
      <c r="I21" s="369"/>
      <c r="J21" s="967"/>
      <c r="K21" s="369"/>
      <c r="L21" s="765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7"/>
      <c r="Z21" s="372"/>
    </row>
    <row r="22" spans="1:26" ht="30.95" customHeight="1">
      <c r="A22" s="903"/>
      <c r="B22" s="369"/>
      <c r="C22" s="966"/>
      <c r="D22" s="12" t="s">
        <v>108</v>
      </c>
      <c r="E22" s="12" t="s">
        <v>109</v>
      </c>
      <c r="F22" s="12"/>
      <c r="G22" s="12"/>
      <c r="H22" s="12"/>
      <c r="I22" s="13" t="s">
        <v>110</v>
      </c>
      <c r="J22" s="967"/>
      <c r="K22" s="369"/>
      <c r="L22" s="765"/>
      <c r="M22" s="766"/>
      <c r="N22" s="766"/>
      <c r="O22" s="766"/>
      <c r="P22" s="766"/>
      <c r="Q22" s="766"/>
      <c r="R22" s="766"/>
      <c r="S22" s="766"/>
      <c r="T22" s="766"/>
      <c r="U22" s="766"/>
      <c r="V22" s="766"/>
      <c r="W22" s="766"/>
      <c r="X22" s="766"/>
      <c r="Y22" s="767"/>
      <c r="Z22" s="372"/>
    </row>
    <row r="23" spans="1:26" ht="23.1" customHeight="1">
      <c r="A23" s="903"/>
      <c r="B23" s="369"/>
      <c r="C23" s="966"/>
      <c r="D23" s="14" t="s">
        <v>111</v>
      </c>
      <c r="E23" s="210" t="s">
        <v>112</v>
      </c>
      <c r="F23" s="210"/>
      <c r="G23" s="210"/>
      <c r="H23" s="210"/>
      <c r="I23" s="184">
        <v>43789</v>
      </c>
      <c r="J23" s="967"/>
      <c r="K23" s="369"/>
      <c r="L23" s="765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767"/>
      <c r="Z23" s="372">
        <f>IF(E23="",1,0)</f>
        <v>0</v>
      </c>
    </row>
    <row r="24" spans="1:26" ht="23.1" customHeight="1">
      <c r="A24" s="903"/>
      <c r="B24" s="369"/>
      <c r="C24" s="966"/>
      <c r="D24" s="15" t="s">
        <v>113</v>
      </c>
      <c r="E24" s="211" t="s">
        <v>114</v>
      </c>
      <c r="F24" s="211"/>
      <c r="G24" s="211"/>
      <c r="H24" s="211"/>
      <c r="I24" s="185">
        <v>42321</v>
      </c>
      <c r="J24" s="967"/>
      <c r="K24" s="369"/>
      <c r="L24" s="765"/>
      <c r="M24" s="766"/>
      <c r="N24" s="766"/>
      <c r="O24" s="766"/>
      <c r="P24" s="766"/>
      <c r="Q24" s="766"/>
      <c r="R24" s="766"/>
      <c r="S24" s="766"/>
      <c r="T24" s="766"/>
      <c r="U24" s="766"/>
      <c r="V24" s="766"/>
      <c r="W24" s="766"/>
      <c r="X24" s="766"/>
      <c r="Y24" s="767"/>
      <c r="Z24" s="372"/>
    </row>
    <row r="25" spans="1:26" ht="23.1" customHeight="1">
      <c r="A25" s="903"/>
      <c r="B25" s="369"/>
      <c r="C25" s="966"/>
      <c r="D25" s="15" t="s">
        <v>115</v>
      </c>
      <c r="E25" s="211" t="s">
        <v>116</v>
      </c>
      <c r="F25" s="211"/>
      <c r="G25" s="211"/>
      <c r="H25" s="211"/>
      <c r="I25" s="185">
        <v>44210</v>
      </c>
      <c r="J25" s="967"/>
      <c r="K25" s="369"/>
      <c r="L25" s="765"/>
      <c r="M25" s="766"/>
      <c r="N25" s="766"/>
      <c r="O25" s="766"/>
      <c r="P25" s="766"/>
      <c r="Q25" s="766"/>
      <c r="R25" s="766"/>
      <c r="S25" s="766"/>
      <c r="T25" s="766"/>
      <c r="U25" s="766"/>
      <c r="V25" s="766"/>
      <c r="W25" s="766"/>
      <c r="X25" s="766"/>
      <c r="Y25" s="767"/>
      <c r="Z25" s="372">
        <f>IF(E25="",1,0)</f>
        <v>0</v>
      </c>
    </row>
    <row r="26" spans="1:26" ht="23.1" customHeight="1">
      <c r="A26" s="903"/>
      <c r="B26" s="369"/>
      <c r="C26" s="966"/>
      <c r="D26" s="15" t="s">
        <v>117</v>
      </c>
      <c r="E26" s="211"/>
      <c r="F26" s="211"/>
      <c r="G26" s="211"/>
      <c r="H26" s="211"/>
      <c r="I26" s="185"/>
      <c r="J26" s="967"/>
      <c r="K26" s="369"/>
      <c r="L26" s="765"/>
      <c r="M26" s="766"/>
      <c r="N26" s="766"/>
      <c r="O26" s="766"/>
      <c r="P26" s="766"/>
      <c r="Q26" s="766"/>
      <c r="R26" s="766"/>
      <c r="S26" s="766"/>
      <c r="T26" s="766"/>
      <c r="U26" s="766"/>
      <c r="V26" s="766"/>
      <c r="W26" s="766"/>
      <c r="X26" s="766"/>
      <c r="Y26" s="767"/>
      <c r="Z26" s="372"/>
    </row>
    <row r="27" spans="1:26" ht="23.1" customHeight="1">
      <c r="A27" s="903"/>
      <c r="B27" s="369"/>
      <c r="C27" s="966"/>
      <c r="D27" s="15" t="s">
        <v>118</v>
      </c>
      <c r="E27" s="211" t="s">
        <v>119</v>
      </c>
      <c r="F27" s="211"/>
      <c r="G27" s="211"/>
      <c r="H27" s="211"/>
      <c r="I27" s="185">
        <v>42809</v>
      </c>
      <c r="J27" s="967"/>
      <c r="K27" s="369"/>
      <c r="L27" s="765"/>
      <c r="M27" s="766"/>
      <c r="N27" s="766"/>
      <c r="O27" s="766"/>
      <c r="P27" s="766"/>
      <c r="Q27" s="766"/>
      <c r="R27" s="766"/>
      <c r="S27" s="766"/>
      <c r="T27" s="766"/>
      <c r="U27" s="766"/>
      <c r="V27" s="766"/>
      <c r="W27" s="766"/>
      <c r="X27" s="766"/>
      <c r="Y27" s="767"/>
      <c r="Z27" s="372">
        <f>IF(E27="",1,0)</f>
        <v>0</v>
      </c>
    </row>
    <row r="28" spans="1:26" ht="23.1" customHeight="1">
      <c r="A28" s="903"/>
      <c r="B28" s="369"/>
      <c r="C28" s="966"/>
      <c r="D28" s="15" t="s">
        <v>120</v>
      </c>
      <c r="E28" s="211" t="s">
        <v>121</v>
      </c>
      <c r="F28" s="211"/>
      <c r="G28" s="211"/>
      <c r="H28" s="211"/>
      <c r="I28" s="185">
        <v>42321</v>
      </c>
      <c r="J28" s="967"/>
      <c r="K28" s="369"/>
      <c r="L28" s="765"/>
      <c r="M28" s="766"/>
      <c r="N28" s="766"/>
      <c r="O28" s="766"/>
      <c r="P28" s="766"/>
      <c r="Q28" s="766"/>
      <c r="R28" s="766"/>
      <c r="S28" s="766"/>
      <c r="T28" s="766"/>
      <c r="U28" s="766"/>
      <c r="V28" s="766"/>
      <c r="W28" s="766"/>
      <c r="X28" s="766"/>
      <c r="Y28" s="767"/>
      <c r="Z28" s="372"/>
    </row>
    <row r="29" spans="1:26" ht="23.1" customHeight="1">
      <c r="A29" s="903"/>
      <c r="B29" s="369"/>
      <c r="C29" s="966"/>
      <c r="D29" s="15" t="s">
        <v>122</v>
      </c>
      <c r="E29" s="211" t="s">
        <v>123</v>
      </c>
      <c r="F29" s="211"/>
      <c r="G29" s="211"/>
      <c r="H29" s="211"/>
      <c r="I29" s="185">
        <v>43789</v>
      </c>
      <c r="J29" s="967"/>
      <c r="K29" s="369"/>
      <c r="L29" s="765"/>
      <c r="M29" s="766"/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766"/>
      <c r="Y29" s="767"/>
      <c r="Z29" s="372"/>
    </row>
    <row r="30" spans="1:26" ht="23.1" customHeight="1">
      <c r="A30" s="903"/>
      <c r="B30" s="369"/>
      <c r="C30" s="966"/>
      <c r="D30" s="15" t="s">
        <v>124</v>
      </c>
      <c r="E30" s="211" t="s">
        <v>125</v>
      </c>
      <c r="F30" s="211"/>
      <c r="G30" s="211"/>
      <c r="H30" s="211"/>
      <c r="I30" s="185">
        <v>43789</v>
      </c>
      <c r="J30" s="967"/>
      <c r="K30" s="369"/>
      <c r="L30" s="768"/>
      <c r="M30" s="769"/>
      <c r="N30" s="769"/>
      <c r="O30" s="769"/>
      <c r="P30" s="769"/>
      <c r="Q30" s="769"/>
      <c r="R30" s="769"/>
      <c r="S30" s="769"/>
      <c r="T30" s="769"/>
      <c r="U30" s="769"/>
      <c r="V30" s="769"/>
      <c r="W30" s="769"/>
      <c r="X30" s="769"/>
      <c r="Y30" s="770"/>
      <c r="Z30" s="372"/>
    </row>
    <row r="31" spans="1:26" ht="23.1" customHeight="1">
      <c r="A31" s="903"/>
      <c r="B31" s="369"/>
      <c r="C31" s="966"/>
      <c r="D31" s="15" t="s">
        <v>126</v>
      </c>
      <c r="E31" s="211" t="s">
        <v>127</v>
      </c>
      <c r="F31" s="211"/>
      <c r="G31" s="211"/>
      <c r="H31" s="211"/>
      <c r="I31" s="185">
        <v>43452</v>
      </c>
      <c r="J31" s="967"/>
      <c r="K31" s="369"/>
      <c r="L31" s="768"/>
      <c r="M31" s="769"/>
      <c r="N31" s="769"/>
      <c r="O31" s="769"/>
      <c r="P31" s="769"/>
      <c r="Q31" s="769"/>
      <c r="R31" s="769"/>
      <c r="S31" s="769"/>
      <c r="T31" s="769"/>
      <c r="U31" s="769"/>
      <c r="V31" s="769"/>
      <c r="W31" s="769"/>
      <c r="X31" s="769"/>
      <c r="Y31" s="770"/>
      <c r="Z31" s="372"/>
    </row>
    <row r="32" spans="1:26" ht="23.1" customHeight="1">
      <c r="A32" s="903"/>
      <c r="B32" s="369"/>
      <c r="C32" s="966"/>
      <c r="D32" s="15" t="s">
        <v>128</v>
      </c>
      <c r="E32" s="211" t="s">
        <v>129</v>
      </c>
      <c r="F32" s="211"/>
      <c r="G32" s="211"/>
      <c r="H32" s="211"/>
      <c r="I32" s="185">
        <v>43789</v>
      </c>
      <c r="J32" s="967"/>
      <c r="K32" s="369"/>
      <c r="L32" s="765"/>
      <c r="M32" s="766"/>
      <c r="N32" s="766"/>
      <c r="O32" s="766"/>
      <c r="P32" s="766"/>
      <c r="Q32" s="766"/>
      <c r="R32" s="766"/>
      <c r="S32" s="766"/>
      <c r="T32" s="766"/>
      <c r="U32" s="766"/>
      <c r="V32" s="766"/>
      <c r="W32" s="766"/>
      <c r="X32" s="766"/>
      <c r="Y32" s="767"/>
      <c r="Z32" s="372"/>
    </row>
    <row r="33" spans="1:26" ht="23.1" customHeight="1">
      <c r="A33" s="903"/>
      <c r="B33" s="369"/>
      <c r="C33" s="966"/>
      <c r="D33" s="15" t="s">
        <v>130</v>
      </c>
      <c r="E33" s="211" t="s">
        <v>131</v>
      </c>
      <c r="F33" s="211"/>
      <c r="G33" s="211"/>
      <c r="H33" s="211"/>
      <c r="I33" s="185">
        <v>44257</v>
      </c>
      <c r="J33" s="967"/>
      <c r="K33" s="369"/>
      <c r="L33" s="765"/>
      <c r="M33" s="766"/>
      <c r="N33" s="766"/>
      <c r="O33" s="766"/>
      <c r="P33" s="766"/>
      <c r="Q33" s="766"/>
      <c r="R33" s="766"/>
      <c r="S33" s="766"/>
      <c r="T33" s="766"/>
      <c r="U33" s="766"/>
      <c r="V33" s="766"/>
      <c r="W33" s="766"/>
      <c r="X33" s="766"/>
      <c r="Y33" s="767"/>
      <c r="Z33" s="372"/>
    </row>
    <row r="34" spans="1:26" ht="23.1" customHeight="1">
      <c r="A34" s="903"/>
      <c r="B34" s="369"/>
      <c r="C34" s="966"/>
      <c r="D34" s="15" t="s">
        <v>132</v>
      </c>
      <c r="E34" s="211"/>
      <c r="F34" s="211"/>
      <c r="G34" s="211"/>
      <c r="H34" s="211"/>
      <c r="I34" s="185"/>
      <c r="J34" s="967"/>
      <c r="K34" s="369"/>
      <c r="L34" s="765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766"/>
      <c r="Y34" s="767"/>
      <c r="Z34" s="372"/>
    </row>
    <row r="35" spans="1:26" ht="23.1" customHeight="1">
      <c r="A35" s="903"/>
      <c r="B35" s="369"/>
      <c r="C35" s="966"/>
      <c r="D35" s="15" t="s">
        <v>133</v>
      </c>
      <c r="E35" s="211"/>
      <c r="F35" s="211"/>
      <c r="G35" s="211"/>
      <c r="H35" s="211"/>
      <c r="I35" s="185"/>
      <c r="J35" s="967"/>
      <c r="K35" s="369"/>
      <c r="L35" s="765"/>
      <c r="M35" s="766"/>
      <c r="N35" s="766"/>
      <c r="O35" s="766"/>
      <c r="P35" s="766"/>
      <c r="Q35" s="766"/>
      <c r="R35" s="766"/>
      <c r="S35" s="766"/>
      <c r="T35" s="766"/>
      <c r="U35" s="766"/>
      <c r="V35" s="766"/>
      <c r="W35" s="766"/>
      <c r="X35" s="766"/>
      <c r="Y35" s="767"/>
      <c r="Z35" s="372"/>
    </row>
    <row r="36" spans="1:26" ht="23.1" customHeight="1">
      <c r="A36" s="903"/>
      <c r="B36" s="369"/>
      <c r="C36" s="966"/>
      <c r="D36" s="15" t="s">
        <v>134</v>
      </c>
      <c r="E36" s="211"/>
      <c r="F36" s="211"/>
      <c r="G36" s="211"/>
      <c r="H36" s="211"/>
      <c r="I36" s="185"/>
      <c r="J36" s="967"/>
      <c r="K36" s="369"/>
      <c r="L36" s="771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3"/>
      <c r="Z36" s="372"/>
    </row>
    <row r="37" spans="1:26" ht="23.1" customHeight="1">
      <c r="A37" s="903"/>
      <c r="B37" s="369"/>
      <c r="C37" s="966"/>
      <c r="D37" s="15" t="s">
        <v>135</v>
      </c>
      <c r="E37" s="211"/>
      <c r="F37" s="211"/>
      <c r="G37" s="211"/>
      <c r="H37" s="211"/>
      <c r="I37" s="185"/>
      <c r="J37" s="967"/>
      <c r="K37" s="369"/>
      <c r="L37" s="771"/>
      <c r="M37" s="772"/>
      <c r="N37" s="772"/>
      <c r="O37" s="772"/>
      <c r="P37" s="772"/>
      <c r="Q37" s="772"/>
      <c r="R37" s="772"/>
      <c r="S37" s="772"/>
      <c r="T37" s="772"/>
      <c r="U37" s="772"/>
      <c r="V37" s="772"/>
      <c r="W37" s="772"/>
      <c r="X37" s="772"/>
      <c r="Y37" s="773"/>
      <c r="Z37" s="372"/>
    </row>
    <row r="38" spans="1:26" ht="23.1" customHeight="1">
      <c r="A38" s="903"/>
      <c r="B38" s="369"/>
      <c r="C38" s="966"/>
      <c r="D38" s="15" t="s">
        <v>136</v>
      </c>
      <c r="E38" s="211"/>
      <c r="F38" s="211"/>
      <c r="G38" s="211"/>
      <c r="H38" s="211"/>
      <c r="I38" s="185"/>
      <c r="J38" s="967"/>
      <c r="K38" s="369"/>
      <c r="L38" s="771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3"/>
      <c r="Z38" s="372">
        <f>SUM(Z12:Z37)</f>
        <v>0</v>
      </c>
    </row>
    <row r="39" spans="1:26" ht="23.1" customHeight="1">
      <c r="A39" s="903"/>
      <c r="B39" s="369"/>
      <c r="C39" s="966"/>
      <c r="D39" s="16"/>
      <c r="E39" s="17"/>
      <c r="F39" s="17"/>
      <c r="G39" s="17"/>
      <c r="H39" s="17"/>
      <c r="I39" s="18"/>
      <c r="J39" s="967"/>
      <c r="K39" s="369"/>
      <c r="L39" s="771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3"/>
      <c r="Z39" s="372"/>
    </row>
    <row r="40" spans="1:26" ht="23.1" customHeight="1">
      <c r="A40" s="903"/>
      <c r="B40" s="369"/>
      <c r="C40" s="966"/>
      <c r="D40" s="19" t="s">
        <v>137</v>
      </c>
      <c r="E40" s="211" t="s">
        <v>116</v>
      </c>
      <c r="F40" s="211"/>
      <c r="G40" s="212"/>
      <c r="H40" s="212"/>
      <c r="I40" s="186">
        <v>36798</v>
      </c>
      <c r="J40" s="967"/>
      <c r="K40" s="369"/>
      <c r="L40" s="765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6"/>
      <c r="X40" s="766"/>
      <c r="Y40" s="767"/>
      <c r="Z40" s="372">
        <f>IF(E40="",1,0)</f>
        <v>0</v>
      </c>
    </row>
    <row r="41" spans="1:26" ht="23.1" customHeight="1">
      <c r="A41" s="903"/>
      <c r="B41" s="369"/>
      <c r="C41" s="966"/>
      <c r="D41" s="19" t="s">
        <v>138</v>
      </c>
      <c r="E41" s="211" t="s">
        <v>139</v>
      </c>
      <c r="F41" s="211"/>
      <c r="G41" s="211"/>
      <c r="H41" s="211"/>
      <c r="I41" s="186"/>
      <c r="J41" s="967"/>
      <c r="K41" s="369"/>
      <c r="L41" s="765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7"/>
      <c r="Z41" s="372">
        <f>IF(E41="",1,0)</f>
        <v>0</v>
      </c>
    </row>
    <row r="42" spans="1:26" ht="23.1" customHeight="1" thickBot="1">
      <c r="A42" s="903"/>
      <c r="B42" s="369"/>
      <c r="C42" s="972"/>
      <c r="D42" s="973"/>
      <c r="E42" s="973"/>
      <c r="F42" s="973"/>
      <c r="G42" s="973"/>
      <c r="H42" s="985"/>
      <c r="I42" s="973"/>
      <c r="J42" s="974"/>
      <c r="K42" s="369"/>
      <c r="L42" s="774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5"/>
      <c r="Y42" s="776"/>
      <c r="Z42" s="369"/>
    </row>
    <row r="43" spans="1:26" ht="23.1" customHeight="1">
      <c r="A43" s="903"/>
      <c r="B43" s="369"/>
      <c r="C43" s="369"/>
      <c r="D43" s="369"/>
      <c r="E43" s="369"/>
      <c r="F43" s="369"/>
      <c r="G43" s="369"/>
      <c r="H43" s="986"/>
      <c r="I43" s="369"/>
      <c r="J43" s="369"/>
      <c r="K43" s="369" t="s">
        <v>140</v>
      </c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</row>
    <row r="44" spans="1:26" s="24" customFormat="1" ht="15">
      <c r="A44" s="903"/>
      <c r="D44" s="20" t="s">
        <v>39</v>
      </c>
      <c r="H44" s="25"/>
      <c r="I44" s="23" t="s">
        <v>141</v>
      </c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</row>
    <row r="45" spans="1:26" s="24" customFormat="1" ht="15">
      <c r="A45" s="903"/>
      <c r="D45" s="20" t="s">
        <v>41</v>
      </c>
      <c r="H45" s="25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</row>
    <row r="46" spans="1:26" s="24" customFormat="1" ht="15">
      <c r="A46" s="903"/>
      <c r="D46" s="20" t="s">
        <v>42</v>
      </c>
      <c r="H46" s="25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</row>
    <row r="47" spans="1:26" s="24" customFormat="1" ht="15">
      <c r="A47" s="903"/>
      <c r="D47" s="20" t="s">
        <v>43</v>
      </c>
      <c r="H47" s="25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</row>
    <row r="48" spans="1:26" s="24" customFormat="1" ht="15">
      <c r="A48" s="903"/>
      <c r="D48" s="20" t="s">
        <v>44</v>
      </c>
      <c r="H48" s="25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</row>
    <row r="49" spans="1:8" ht="23.1" customHeight="1">
      <c r="A49" s="903"/>
      <c r="B49" s="369"/>
      <c r="C49" s="369"/>
      <c r="D49" s="369"/>
      <c r="E49" s="369"/>
      <c r="F49" s="369"/>
      <c r="G49" s="369"/>
      <c r="H49" s="986"/>
    </row>
    <row r="50" spans="1:8" ht="23.1" customHeight="1">
      <c r="A50" s="903"/>
      <c r="B50" s="369"/>
      <c r="C50" s="369"/>
      <c r="D50" s="369"/>
      <c r="E50" s="369"/>
      <c r="F50" s="369"/>
      <c r="G50" s="369"/>
      <c r="H50" s="986"/>
    </row>
    <row r="51" spans="1:8" ht="23.1" customHeight="1">
      <c r="A51" s="903"/>
      <c r="B51" s="369"/>
      <c r="C51" s="369"/>
      <c r="D51" s="369"/>
      <c r="E51" s="369"/>
      <c r="F51" s="369"/>
      <c r="G51" s="369"/>
      <c r="H51" s="986"/>
    </row>
    <row r="52" spans="1:8" ht="23.1" customHeight="1">
      <c r="A52" s="903"/>
      <c r="B52" s="369"/>
      <c r="C52" s="369"/>
      <c r="D52" s="369"/>
      <c r="E52" s="369"/>
      <c r="F52" s="369"/>
      <c r="G52" s="369"/>
      <c r="H52" s="986"/>
    </row>
    <row r="53" spans="1:8" ht="23.1" customHeight="1">
      <c r="A53" s="903"/>
      <c r="B53" s="369"/>
      <c r="C53" s="369"/>
      <c r="D53" s="369"/>
      <c r="E53" s="369"/>
      <c r="F53" s="369"/>
      <c r="G53" s="369"/>
      <c r="H53" s="986"/>
    </row>
    <row r="54" spans="1:8" ht="23.1" customHeight="1">
      <c r="A54" s="903"/>
      <c r="B54" s="369"/>
      <c r="C54" s="369"/>
      <c r="D54" s="369"/>
      <c r="E54" s="369"/>
      <c r="F54" s="369"/>
      <c r="G54" s="369"/>
      <c r="H54" s="986"/>
    </row>
    <row r="55" spans="1:8" ht="23.1" customHeight="1">
      <c r="A55" s="903"/>
      <c r="B55" s="369"/>
      <c r="C55" s="369"/>
      <c r="D55" s="369"/>
      <c r="E55" s="369"/>
      <c r="F55" s="369"/>
      <c r="G55" s="369"/>
      <c r="H55" s="986"/>
    </row>
    <row r="56" spans="1:8" ht="23.1" customHeight="1">
      <c r="A56" s="903"/>
      <c r="B56" s="369"/>
      <c r="C56" s="369"/>
      <c r="D56" s="369"/>
      <c r="E56" s="369"/>
      <c r="F56" s="369"/>
      <c r="G56" s="369"/>
      <c r="H56" s="369"/>
    </row>
    <row r="57" spans="1:8" ht="23.1" customHeight="1">
      <c r="A57" s="903"/>
      <c r="B57" s="369"/>
      <c r="C57" s="369"/>
      <c r="D57" s="369"/>
      <c r="E57" s="369"/>
      <c r="F57" s="369"/>
      <c r="G57" s="369"/>
      <c r="H57" s="369"/>
    </row>
    <row r="58" spans="1:8" ht="23.1" customHeight="1">
      <c r="A58" s="903"/>
      <c r="B58" s="369"/>
      <c r="C58" s="369"/>
      <c r="D58" s="369"/>
      <c r="E58" s="369"/>
      <c r="F58" s="369"/>
      <c r="G58" s="369"/>
      <c r="H58" s="369"/>
    </row>
    <row r="59" spans="1:8" ht="23.1" customHeight="1">
      <c r="A59" s="903"/>
      <c r="B59" s="369"/>
      <c r="C59" s="369"/>
      <c r="D59" s="369"/>
      <c r="E59" s="369"/>
      <c r="F59" s="369"/>
      <c r="G59" s="369"/>
      <c r="H59" s="369"/>
    </row>
    <row r="60" spans="1:8" ht="23.1" customHeight="1">
      <c r="A60" s="903"/>
      <c r="B60" s="369"/>
      <c r="C60" s="369"/>
      <c r="D60" s="369"/>
      <c r="E60" s="369"/>
      <c r="F60" s="369"/>
      <c r="G60" s="369"/>
      <c r="H60" s="369"/>
    </row>
    <row r="61" spans="1:8" ht="23.1" customHeight="1">
      <c r="A61" s="975"/>
      <c r="B61" s="369"/>
      <c r="C61" s="369"/>
      <c r="D61" s="369"/>
      <c r="E61" s="369"/>
      <c r="F61" s="369"/>
      <c r="G61" s="369"/>
      <c r="H61" s="369"/>
    </row>
    <row r="62" spans="1:8" ht="23.1" customHeight="1">
      <c r="A62" s="975"/>
      <c r="B62" s="369"/>
      <c r="C62" s="369"/>
      <c r="D62" s="369"/>
      <c r="E62" s="369"/>
      <c r="F62" s="369"/>
      <c r="G62" s="369"/>
      <c r="H62" s="369"/>
    </row>
    <row r="63" spans="1:8" ht="23.1" customHeight="1">
      <c r="A63" s="975"/>
      <c r="B63" s="369"/>
      <c r="C63" s="369"/>
      <c r="D63" s="369"/>
      <c r="E63" s="369"/>
      <c r="F63" s="369"/>
      <c r="G63" s="369"/>
      <c r="H63" s="369"/>
    </row>
    <row r="65" spans="1:1" ht="23.1" customHeight="1">
      <c r="A65" s="24"/>
    </row>
    <row r="66" spans="1:1" ht="23.1" customHeight="1">
      <c r="A66" s="24"/>
    </row>
    <row r="67" spans="1:1" ht="23.1" customHeight="1">
      <c r="A67" s="24"/>
    </row>
    <row r="68" spans="1:1" ht="23.1" customHeight="1">
      <c r="A68" s="24"/>
    </row>
    <row r="69" spans="1:1" ht="23.1" customHeight="1">
      <c r="A69" s="24"/>
    </row>
  </sheetData>
  <sheetProtection algorithmName="SHA-512" hashValue="rmEMCh8FuapyzU2iE5CPF37WHkijgKMjReRxEy4mw5NIaZkQlPs3/9nh+99Y09FUqG1OBldYwB8rgHXLA4vJtg==" saltValue="4j7s4S5UcvKbUtP/l41a9Q==" spinCount="100000" sheet="1" objects="1" scenarios="1"/>
  <mergeCells count="2">
    <mergeCell ref="I6:I7"/>
    <mergeCell ref="E9:I9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H69"/>
  <sheetViews>
    <sheetView topLeftCell="A39" workbookViewId="0">
      <selection activeCell="L51" sqref="L51"/>
    </sheetView>
  </sheetViews>
  <sheetFormatPr baseColWidth="10" defaultColWidth="10.6640625" defaultRowHeight="23.1" customHeight="1"/>
  <cols>
    <col min="1" max="1" width="10.6640625" style="149"/>
    <col min="2" max="2" width="4.109375" style="24" bestFit="1" customWidth="1"/>
    <col min="3" max="3" width="3.109375" style="24" customWidth="1"/>
    <col min="4" max="4" width="13.5546875" style="24" customWidth="1"/>
    <col min="5" max="5" width="16.33203125" style="24" customWidth="1"/>
    <col min="6" max="6" width="14" style="24" customWidth="1"/>
    <col min="7" max="8" width="16.33203125" style="24" customWidth="1"/>
    <col min="9" max="9" width="10.109375" style="24" customWidth="1"/>
    <col min="10" max="10" width="13" style="24" customWidth="1"/>
    <col min="11" max="11" width="10.6640625" style="24"/>
    <col min="12" max="12" width="2" style="24" customWidth="1"/>
    <col min="13" max="13" width="12.6640625" style="24" customWidth="1"/>
    <col min="14" max="16" width="10.6640625" style="24"/>
    <col min="17" max="17" width="30.44140625" style="24" customWidth="1"/>
    <col min="18" max="18" width="3.33203125" style="24" customWidth="1"/>
    <col min="19" max="33" width="10.6640625" style="24"/>
    <col min="34" max="34" width="10.6640625" style="827"/>
    <col min="35" max="16384" width="10.6640625" style="24"/>
  </cols>
  <sheetData>
    <row r="1" spans="1:34" ht="23.1" customHeight="1">
      <c r="A1" s="369"/>
    </row>
    <row r="2" spans="1:34" ht="23.1" customHeight="1">
      <c r="A2" s="369"/>
      <c r="E2" s="347" t="str">
        <f>_GENERAL!D2</f>
        <v>Área de Presidencia, Hacienda y Modernización</v>
      </c>
    </row>
    <row r="3" spans="1:34" ht="23.1" customHeight="1">
      <c r="A3" s="369"/>
      <c r="E3" s="347" t="str">
        <f>_GENERAL!D3</f>
        <v>Dirección Insular de Hacienda</v>
      </c>
    </row>
    <row r="4" spans="1:34" ht="23.1" customHeight="1" thickBot="1">
      <c r="A4" s="369"/>
      <c r="B4" s="24" t="s">
        <v>100</v>
      </c>
    </row>
    <row r="5" spans="1:34" ht="9" customHeight="1">
      <c r="A5" s="975"/>
      <c r="C5" s="255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T5" s="757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9"/>
    </row>
    <row r="6" spans="1:34" ht="30" customHeight="1">
      <c r="A6" s="975"/>
      <c r="C6" s="258"/>
      <c r="D6" s="1" t="s">
        <v>2</v>
      </c>
      <c r="Q6" s="1140">
        <f>ejercicio</f>
        <v>2022</v>
      </c>
      <c r="R6" s="259"/>
      <c r="T6" s="174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7"/>
      <c r="AH6" s="24"/>
    </row>
    <row r="7" spans="1:34" ht="30" customHeight="1">
      <c r="A7" s="975"/>
      <c r="C7" s="258"/>
      <c r="D7" s="1" t="s">
        <v>3</v>
      </c>
      <c r="N7" s="260"/>
      <c r="Q7" s="1140"/>
      <c r="R7" s="259"/>
      <c r="T7" s="178"/>
      <c r="U7" s="175" t="s">
        <v>101</v>
      </c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80"/>
      <c r="AH7" s="24"/>
    </row>
    <row r="8" spans="1:34" ht="30" customHeight="1">
      <c r="A8" s="975"/>
      <c r="C8" s="258"/>
      <c r="D8" s="261"/>
      <c r="N8" s="260"/>
      <c r="P8" s="228"/>
      <c r="Q8" s="228"/>
      <c r="R8" s="259"/>
      <c r="T8" s="777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9"/>
      <c r="AH8" s="24"/>
    </row>
    <row r="9" spans="1:34" s="262" customFormat="1" ht="30" customHeight="1">
      <c r="A9" s="900" t="s">
        <v>46</v>
      </c>
      <c r="B9" s="369"/>
      <c r="C9" s="966"/>
      <c r="D9" s="21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254"/>
      <c r="R9" s="967"/>
      <c r="S9" s="369"/>
      <c r="T9" s="780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2"/>
      <c r="AH9" s="369"/>
    </row>
    <row r="10" spans="1:34" ht="6.95" customHeight="1">
      <c r="A10" s="975"/>
      <c r="C10" s="258"/>
      <c r="J10" s="260"/>
      <c r="R10" s="259"/>
      <c r="T10" s="780"/>
      <c r="U10" s="781"/>
      <c r="V10" s="781"/>
      <c r="W10" s="781"/>
      <c r="X10" s="781"/>
      <c r="Y10" s="781"/>
      <c r="Z10" s="781"/>
      <c r="AA10" s="781"/>
      <c r="AB10" s="781"/>
      <c r="AC10" s="781"/>
      <c r="AD10" s="781"/>
      <c r="AE10" s="781"/>
      <c r="AF10" s="781"/>
      <c r="AG10" s="782"/>
    </row>
    <row r="11" spans="1:34" s="28" customFormat="1" ht="30" customHeight="1">
      <c r="A11" s="901"/>
      <c r="C11" s="10"/>
      <c r="D11" s="4" t="s">
        <v>142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63"/>
      <c r="T11" s="780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2"/>
      <c r="AH11" s="828"/>
    </row>
    <row r="12" spans="1:34" ht="23.1" customHeight="1">
      <c r="A12" s="901"/>
      <c r="C12" s="258"/>
      <c r="R12" s="259"/>
      <c r="T12" s="780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2"/>
    </row>
    <row r="13" spans="1:34" ht="23.1" customHeight="1">
      <c r="A13" s="901"/>
      <c r="C13" s="258"/>
      <c r="D13" s="5" t="s">
        <v>143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59"/>
      <c r="T13" s="780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2"/>
    </row>
    <row r="14" spans="1:34" ht="23.1" customHeight="1">
      <c r="A14" s="902"/>
      <c r="C14" s="258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59"/>
      <c r="T14" s="780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2"/>
    </row>
    <row r="15" spans="1:34" ht="23.1" customHeight="1">
      <c r="A15" s="903"/>
      <c r="C15" s="258"/>
      <c r="G15" s="1152" t="s">
        <v>144</v>
      </c>
      <c r="H15" s="1152"/>
      <c r="I15" s="1152"/>
      <c r="J15" s="264">
        <f>ejercicio-2</f>
        <v>2020</v>
      </c>
      <c r="K15" s="265"/>
      <c r="M15" s="1152" t="s">
        <v>145</v>
      </c>
      <c r="N15" s="1152"/>
      <c r="O15" s="1152"/>
      <c r="P15" s="266">
        <f>ejercicio-1</f>
        <v>2021</v>
      </c>
      <c r="Q15" s="267"/>
      <c r="R15" s="259"/>
      <c r="T15" s="780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2"/>
    </row>
    <row r="16" spans="1:34" s="275" customFormat="1" ht="51" customHeight="1">
      <c r="A16" s="903"/>
      <c r="C16" s="268"/>
      <c r="D16" s="269" t="s">
        <v>146</v>
      </c>
      <c r="E16" s="269"/>
      <c r="F16" s="270" t="s">
        <v>147</v>
      </c>
      <c r="G16" s="270" t="s">
        <v>148</v>
      </c>
      <c r="H16" s="270" t="s">
        <v>149</v>
      </c>
      <c r="I16" s="271" t="s">
        <v>150</v>
      </c>
      <c r="J16" s="270" t="s">
        <v>151</v>
      </c>
      <c r="K16" s="270" t="s">
        <v>152</v>
      </c>
      <c r="L16" s="270"/>
      <c r="M16" s="272" t="s">
        <v>153</v>
      </c>
      <c r="N16" s="272" t="s">
        <v>154</v>
      </c>
      <c r="O16" s="272" t="s">
        <v>155</v>
      </c>
      <c r="P16" s="272" t="s">
        <v>156</v>
      </c>
      <c r="Q16" s="273" t="s">
        <v>157</v>
      </c>
      <c r="R16" s="274"/>
      <c r="T16" s="780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1"/>
      <c r="AF16" s="781"/>
      <c r="AG16" s="782"/>
      <c r="AH16" s="829"/>
    </row>
    <row r="17" spans="1:34" ht="23.1" customHeight="1">
      <c r="A17" s="903"/>
      <c r="C17" s="258"/>
      <c r="D17" s="187" t="s">
        <v>158</v>
      </c>
      <c r="E17" s="187"/>
      <c r="F17" s="284" t="s">
        <v>159</v>
      </c>
      <c r="G17" s="188">
        <v>0.56061406552000004</v>
      </c>
      <c r="H17" s="282"/>
      <c r="I17" s="282"/>
      <c r="J17" s="190">
        <v>92020</v>
      </c>
      <c r="K17" s="190">
        <v>86626.723291903778</v>
      </c>
      <c r="L17" s="190"/>
      <c r="M17" s="190"/>
      <c r="N17" s="190"/>
      <c r="O17" s="190"/>
      <c r="P17" s="190"/>
      <c r="Q17" s="190"/>
      <c r="R17" s="259"/>
      <c r="T17" s="780"/>
      <c r="U17" s="781"/>
      <c r="V17" s="781"/>
      <c r="W17" s="781"/>
      <c r="X17" s="781"/>
      <c r="Y17" s="781"/>
      <c r="Z17" s="781"/>
      <c r="AA17" s="781"/>
      <c r="AB17" s="781"/>
      <c r="AC17" s="781"/>
      <c r="AD17" s="781"/>
      <c r="AE17" s="781"/>
      <c r="AF17" s="781"/>
      <c r="AG17" s="782"/>
      <c r="AH17" s="827">
        <f>IF(D17="",1,0)</f>
        <v>0</v>
      </c>
    </row>
    <row r="18" spans="1:34" ht="23.1" customHeight="1">
      <c r="A18" s="903"/>
      <c r="C18" s="258"/>
      <c r="D18" s="191" t="s">
        <v>160</v>
      </c>
      <c r="E18" s="191"/>
      <c r="F18" s="285" t="s">
        <v>161</v>
      </c>
      <c r="G18" s="192">
        <v>7.3230980000000001E-2</v>
      </c>
      <c r="H18" s="283"/>
      <c r="I18" s="283"/>
      <c r="J18" s="194">
        <v>12020.24</v>
      </c>
      <c r="K18" s="190">
        <v>11315.733048297599</v>
      </c>
      <c r="L18" s="194"/>
      <c r="M18" s="194"/>
      <c r="N18" s="194"/>
      <c r="O18" s="194"/>
      <c r="P18" s="194"/>
      <c r="Q18" s="194"/>
      <c r="R18" s="259"/>
      <c r="T18" s="780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2"/>
    </row>
    <row r="19" spans="1:34" ht="23.1" customHeight="1">
      <c r="A19" s="903"/>
      <c r="C19" s="258"/>
      <c r="D19" s="191" t="s">
        <v>162</v>
      </c>
      <c r="E19" s="191"/>
      <c r="F19" s="285" t="s">
        <v>163</v>
      </c>
      <c r="G19" s="192">
        <v>7.3230980000000001E-2</v>
      </c>
      <c r="H19" s="283"/>
      <c r="I19" s="283"/>
      <c r="J19" s="194">
        <v>12020.24</v>
      </c>
      <c r="K19" s="190">
        <v>11315.733048297599</v>
      </c>
      <c r="L19" s="194"/>
      <c r="M19" s="194"/>
      <c r="N19" s="194"/>
      <c r="O19" s="194"/>
      <c r="P19" s="194"/>
      <c r="Q19" s="194"/>
      <c r="R19" s="259"/>
      <c r="T19" s="780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2"/>
    </row>
    <row r="20" spans="1:34" ht="23.1" customHeight="1">
      <c r="A20" s="903"/>
      <c r="C20" s="258"/>
      <c r="D20" s="191" t="s">
        <v>164</v>
      </c>
      <c r="E20" s="191"/>
      <c r="F20" s="285" t="s">
        <v>165</v>
      </c>
      <c r="G20" s="192">
        <v>7.3230980000000001E-2</v>
      </c>
      <c r="H20" s="283"/>
      <c r="I20" s="283"/>
      <c r="J20" s="194">
        <v>12020.24</v>
      </c>
      <c r="K20" s="190">
        <v>11315.733048297599</v>
      </c>
      <c r="L20" s="194"/>
      <c r="M20" s="194"/>
      <c r="N20" s="194"/>
      <c r="O20" s="194"/>
      <c r="P20" s="194"/>
      <c r="Q20" s="194"/>
      <c r="R20" s="259"/>
      <c r="T20" s="780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2"/>
    </row>
    <row r="21" spans="1:34" ht="23.1" customHeight="1">
      <c r="A21" s="903"/>
      <c r="C21" s="258"/>
      <c r="D21" s="191" t="s">
        <v>166</v>
      </c>
      <c r="E21" s="191"/>
      <c r="F21" s="285" t="s">
        <v>167</v>
      </c>
      <c r="G21" s="192">
        <v>7.3230980000000001E-2</v>
      </c>
      <c r="H21" s="283"/>
      <c r="I21" s="283"/>
      <c r="J21" s="194">
        <v>12020.24</v>
      </c>
      <c r="K21" s="190">
        <v>11315.733048297599</v>
      </c>
      <c r="L21" s="194"/>
      <c r="M21" s="194"/>
      <c r="N21" s="194"/>
      <c r="O21" s="194"/>
      <c r="P21" s="194"/>
      <c r="Q21" s="194"/>
      <c r="R21" s="259"/>
      <c r="T21" s="780"/>
      <c r="U21" s="781"/>
      <c r="V21" s="781"/>
      <c r="W21" s="781"/>
      <c r="X21" s="781"/>
      <c r="Y21" s="781"/>
      <c r="Z21" s="781"/>
      <c r="AA21" s="781"/>
      <c r="AB21" s="781"/>
      <c r="AC21" s="781"/>
      <c r="AD21" s="781"/>
      <c r="AE21" s="781"/>
      <c r="AF21" s="781"/>
      <c r="AG21" s="782"/>
    </row>
    <row r="22" spans="1:34" ht="23.1" customHeight="1">
      <c r="A22" s="903"/>
      <c r="C22" s="258"/>
      <c r="D22" s="191" t="s">
        <v>168</v>
      </c>
      <c r="E22" s="191"/>
      <c r="F22" s="285" t="s">
        <v>169</v>
      </c>
      <c r="G22" s="192">
        <v>7.3230980000000001E-2</v>
      </c>
      <c r="H22" s="283"/>
      <c r="I22" s="283"/>
      <c r="J22" s="194">
        <v>12020.24</v>
      </c>
      <c r="K22" s="190">
        <v>11315.733048297599</v>
      </c>
      <c r="L22" s="194"/>
      <c r="M22" s="194"/>
      <c r="N22" s="194"/>
      <c r="O22" s="194"/>
      <c r="P22" s="194"/>
      <c r="Q22" s="194"/>
      <c r="R22" s="259"/>
      <c r="T22" s="780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2"/>
    </row>
    <row r="23" spans="1:34" ht="23.1" customHeight="1">
      <c r="A23" s="903"/>
      <c r="C23" s="258"/>
      <c r="D23" s="191" t="s">
        <v>170</v>
      </c>
      <c r="E23" s="191"/>
      <c r="F23" s="285" t="s">
        <v>171</v>
      </c>
      <c r="G23" s="192">
        <v>7.3230980000000001E-2</v>
      </c>
      <c r="H23" s="283"/>
      <c r="I23" s="283"/>
      <c r="J23" s="194">
        <v>12020.24</v>
      </c>
      <c r="K23" s="190">
        <v>11315.733048297599</v>
      </c>
      <c r="L23" s="194"/>
      <c r="M23" s="194"/>
      <c r="N23" s="194"/>
      <c r="O23" s="194"/>
      <c r="P23" s="194"/>
      <c r="Q23" s="194"/>
      <c r="R23" s="259"/>
      <c r="T23" s="780"/>
      <c r="U23" s="781"/>
      <c r="V23" s="781"/>
      <c r="W23" s="781"/>
      <c r="X23" s="781"/>
      <c r="Y23" s="781"/>
      <c r="Z23" s="781"/>
      <c r="AA23" s="781"/>
      <c r="AB23" s="781"/>
      <c r="AC23" s="781"/>
      <c r="AD23" s="781"/>
      <c r="AE23" s="781"/>
      <c r="AF23" s="781"/>
      <c r="AG23" s="782"/>
    </row>
    <row r="24" spans="1:34" ht="23.1" customHeight="1">
      <c r="A24" s="903"/>
      <c r="C24" s="258"/>
      <c r="D24" s="191"/>
      <c r="E24" s="191"/>
      <c r="F24" s="285"/>
      <c r="G24" s="192"/>
      <c r="H24" s="283"/>
      <c r="I24" s="283"/>
      <c r="J24" s="194"/>
      <c r="K24" s="194"/>
      <c r="L24" s="194"/>
      <c r="M24" s="194"/>
      <c r="N24" s="194"/>
      <c r="O24" s="194"/>
      <c r="P24" s="194"/>
      <c r="Q24" s="194"/>
      <c r="R24" s="259"/>
      <c r="T24" s="780"/>
      <c r="U24" s="781"/>
      <c r="V24" s="781"/>
      <c r="W24" s="781"/>
      <c r="X24" s="781"/>
      <c r="Y24" s="781"/>
      <c r="Z24" s="781"/>
      <c r="AA24" s="781"/>
      <c r="AB24" s="781"/>
      <c r="AC24" s="781"/>
      <c r="AD24" s="781"/>
      <c r="AE24" s="781"/>
      <c r="AF24" s="781"/>
      <c r="AG24" s="782"/>
    </row>
    <row r="25" spans="1:34" ht="23.1" customHeight="1">
      <c r="A25" s="903"/>
      <c r="C25" s="258"/>
      <c r="D25" s="191"/>
      <c r="E25" s="191"/>
      <c r="F25" s="285"/>
      <c r="G25" s="192"/>
      <c r="H25" s="283"/>
      <c r="I25" s="283"/>
      <c r="J25" s="194"/>
      <c r="K25" s="194"/>
      <c r="L25" s="194"/>
      <c r="M25" s="194"/>
      <c r="N25" s="194"/>
      <c r="O25" s="194"/>
      <c r="P25" s="194"/>
      <c r="Q25" s="194"/>
      <c r="R25" s="259"/>
      <c r="T25" s="780"/>
      <c r="U25" s="781"/>
      <c r="V25" s="781"/>
      <c r="W25" s="781"/>
      <c r="X25" s="781"/>
      <c r="Y25" s="781"/>
      <c r="Z25" s="781"/>
      <c r="AA25" s="781"/>
      <c r="AB25" s="781"/>
      <c r="AC25" s="781"/>
      <c r="AD25" s="781"/>
      <c r="AE25" s="781"/>
      <c r="AF25" s="781"/>
      <c r="AG25" s="782"/>
    </row>
    <row r="26" spans="1:34" ht="23.1" customHeight="1">
      <c r="A26" s="903"/>
      <c r="C26" s="258"/>
      <c r="D26" s="191"/>
      <c r="E26" s="191"/>
      <c r="F26" s="285"/>
      <c r="G26" s="192"/>
      <c r="H26" s="283"/>
      <c r="I26" s="283"/>
      <c r="J26" s="194"/>
      <c r="K26" s="194"/>
      <c r="L26" s="194"/>
      <c r="M26" s="194"/>
      <c r="N26" s="194"/>
      <c r="O26" s="194"/>
      <c r="P26" s="194"/>
      <c r="Q26" s="194"/>
      <c r="R26" s="259"/>
      <c r="T26" s="780"/>
      <c r="U26" s="781"/>
      <c r="V26" s="781"/>
      <c r="W26" s="781"/>
      <c r="X26" s="781"/>
      <c r="Y26" s="781"/>
      <c r="Z26" s="781"/>
      <c r="AA26" s="781"/>
      <c r="AB26" s="781"/>
      <c r="AC26" s="781"/>
      <c r="AD26" s="781"/>
      <c r="AE26" s="781"/>
      <c r="AF26" s="781"/>
      <c r="AG26" s="782"/>
    </row>
    <row r="27" spans="1:34" ht="23.1" customHeight="1">
      <c r="A27" s="903"/>
      <c r="C27" s="258"/>
      <c r="D27" s="191"/>
      <c r="E27" s="191"/>
      <c r="F27" s="285"/>
      <c r="G27" s="192"/>
      <c r="H27" s="283"/>
      <c r="I27" s="283"/>
      <c r="J27" s="194"/>
      <c r="K27" s="194"/>
      <c r="L27" s="194"/>
      <c r="M27" s="194"/>
      <c r="N27" s="194"/>
      <c r="O27" s="194"/>
      <c r="P27" s="194"/>
      <c r="Q27" s="194"/>
      <c r="R27" s="259"/>
      <c r="T27" s="780"/>
      <c r="U27" s="781"/>
      <c r="V27" s="781"/>
      <c r="W27" s="781"/>
      <c r="X27" s="781"/>
      <c r="Y27" s="781"/>
      <c r="Z27" s="781"/>
      <c r="AA27" s="781"/>
      <c r="AB27" s="781"/>
      <c r="AC27" s="781"/>
      <c r="AD27" s="781"/>
      <c r="AE27" s="781"/>
      <c r="AF27" s="781"/>
      <c r="AG27" s="782"/>
    </row>
    <row r="28" spans="1:34" ht="23.1" customHeight="1">
      <c r="A28" s="903"/>
      <c r="C28" s="258"/>
      <c r="R28" s="259"/>
      <c r="T28" s="780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781"/>
      <c r="AF28" s="781"/>
      <c r="AG28" s="782"/>
    </row>
    <row r="29" spans="1:34" ht="23.1" customHeight="1">
      <c r="A29" s="903"/>
      <c r="C29" s="258"/>
      <c r="D29" s="5" t="s">
        <v>172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59"/>
      <c r="T29" s="780"/>
      <c r="U29" s="781"/>
      <c r="V29" s="781"/>
      <c r="W29" s="781"/>
      <c r="X29" s="781"/>
      <c r="Y29" s="781"/>
      <c r="Z29" s="781"/>
      <c r="AA29" s="781"/>
      <c r="AB29" s="781"/>
      <c r="AC29" s="781"/>
      <c r="AD29" s="781"/>
      <c r="AE29" s="781"/>
      <c r="AF29" s="781"/>
      <c r="AG29" s="782"/>
    </row>
    <row r="30" spans="1:34" ht="23.1" customHeight="1">
      <c r="A30" s="903"/>
      <c r="C30" s="258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59"/>
      <c r="T30" s="783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5"/>
    </row>
    <row r="31" spans="1:34" ht="23.1" customHeight="1">
      <c r="A31" s="903"/>
      <c r="C31" s="258"/>
      <c r="G31" s="1152" t="s">
        <v>144</v>
      </c>
      <c r="H31" s="1152"/>
      <c r="I31" s="1152"/>
      <c r="J31" s="264">
        <f>ejercicio-2</f>
        <v>2020</v>
      </c>
      <c r="K31" s="265"/>
      <c r="M31" s="1153" t="s">
        <v>145</v>
      </c>
      <c r="N31" s="1153"/>
      <c r="O31" s="1153"/>
      <c r="P31" s="276">
        <f>ejercicio-1</f>
        <v>2021</v>
      </c>
      <c r="R31" s="259"/>
      <c r="T31" s="783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5"/>
    </row>
    <row r="32" spans="1:34" ht="44.1" customHeight="1">
      <c r="A32" s="903"/>
      <c r="C32" s="258"/>
      <c r="D32" s="269" t="s">
        <v>146</v>
      </c>
      <c r="E32" s="269"/>
      <c r="F32" s="270" t="s">
        <v>147</v>
      </c>
      <c r="G32" s="270" t="s">
        <v>148</v>
      </c>
      <c r="H32" s="270" t="s">
        <v>149</v>
      </c>
      <c r="I32" s="271" t="s">
        <v>150</v>
      </c>
      <c r="J32" s="270" t="s">
        <v>151</v>
      </c>
      <c r="K32" s="270" t="s">
        <v>173</v>
      </c>
      <c r="L32" s="270"/>
      <c r="M32" s="270" t="s">
        <v>174</v>
      </c>
      <c r="N32" s="270" t="s">
        <v>154</v>
      </c>
      <c r="O32" s="270" t="s">
        <v>175</v>
      </c>
      <c r="P32" s="270" t="s">
        <v>156</v>
      </c>
      <c r="Q32" s="273" t="s">
        <v>157</v>
      </c>
      <c r="R32" s="259"/>
      <c r="T32" s="780"/>
      <c r="U32" s="781"/>
      <c r="V32" s="781"/>
      <c r="W32" s="781"/>
      <c r="X32" s="781"/>
      <c r="Y32" s="781"/>
      <c r="Z32" s="781"/>
      <c r="AA32" s="781"/>
      <c r="AB32" s="781"/>
      <c r="AC32" s="781"/>
      <c r="AD32" s="781"/>
      <c r="AE32" s="781"/>
      <c r="AF32" s="781"/>
      <c r="AG32" s="782"/>
    </row>
    <row r="33" spans="1:34" ht="23.1" customHeight="1">
      <c r="A33" s="903"/>
      <c r="C33" s="258"/>
      <c r="D33" s="187"/>
      <c r="E33" s="187"/>
      <c r="F33" s="284"/>
      <c r="G33" s="213"/>
      <c r="H33" s="282"/>
      <c r="I33" s="189"/>
      <c r="J33" s="190"/>
      <c r="K33" s="190"/>
      <c r="L33" s="190"/>
      <c r="M33" s="190"/>
      <c r="N33" s="190"/>
      <c r="O33" s="190"/>
      <c r="P33" s="190"/>
      <c r="Q33" s="190"/>
      <c r="R33" s="259"/>
      <c r="T33" s="780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2"/>
    </row>
    <row r="34" spans="1:34" ht="23.1" customHeight="1">
      <c r="A34" s="903"/>
      <c r="C34" s="258"/>
      <c r="D34" s="191"/>
      <c r="E34" s="191"/>
      <c r="F34" s="285"/>
      <c r="G34" s="214"/>
      <c r="H34" s="283"/>
      <c r="I34" s="193"/>
      <c r="J34" s="194"/>
      <c r="K34" s="194"/>
      <c r="L34" s="194"/>
      <c r="M34" s="194"/>
      <c r="N34" s="194"/>
      <c r="O34" s="194"/>
      <c r="P34" s="194"/>
      <c r="Q34" s="194"/>
      <c r="R34" s="259"/>
      <c r="T34" s="780"/>
      <c r="U34" s="781"/>
      <c r="V34" s="781"/>
      <c r="W34" s="781"/>
      <c r="X34" s="781"/>
      <c r="Y34" s="781"/>
      <c r="Z34" s="781"/>
      <c r="AA34" s="781"/>
      <c r="AB34" s="781"/>
      <c r="AC34" s="781"/>
      <c r="AD34" s="781"/>
      <c r="AE34" s="781"/>
      <c r="AF34" s="781"/>
      <c r="AG34" s="782"/>
    </row>
    <row r="35" spans="1:34" ht="23.1" customHeight="1">
      <c r="A35" s="903"/>
      <c r="C35" s="258"/>
      <c r="D35" s="191"/>
      <c r="E35" s="191"/>
      <c r="F35" s="285"/>
      <c r="G35" s="214"/>
      <c r="H35" s="283"/>
      <c r="I35" s="193"/>
      <c r="J35" s="194"/>
      <c r="K35" s="194"/>
      <c r="L35" s="194"/>
      <c r="M35" s="194"/>
      <c r="N35" s="194"/>
      <c r="O35" s="194"/>
      <c r="P35" s="194"/>
      <c r="Q35" s="194"/>
      <c r="R35" s="259"/>
      <c r="T35" s="780"/>
      <c r="U35" s="781"/>
      <c r="V35" s="781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2"/>
    </row>
    <row r="36" spans="1:34" ht="23.1" customHeight="1">
      <c r="A36" s="903"/>
      <c r="C36" s="258"/>
      <c r="D36" s="191"/>
      <c r="E36" s="191"/>
      <c r="F36" s="285"/>
      <c r="G36" s="214"/>
      <c r="H36" s="283"/>
      <c r="I36" s="193"/>
      <c r="J36" s="194"/>
      <c r="K36" s="194"/>
      <c r="L36" s="194"/>
      <c r="M36" s="194"/>
      <c r="N36" s="194"/>
      <c r="O36" s="194"/>
      <c r="P36" s="194"/>
      <c r="Q36" s="194"/>
      <c r="R36" s="259"/>
      <c r="T36" s="786"/>
      <c r="U36" s="787"/>
      <c r="V36" s="787"/>
      <c r="W36" s="787"/>
      <c r="X36" s="787"/>
      <c r="Y36" s="787"/>
      <c r="Z36" s="787"/>
      <c r="AA36" s="787"/>
      <c r="AB36" s="787"/>
      <c r="AC36" s="787"/>
      <c r="AD36" s="787"/>
      <c r="AE36" s="787"/>
      <c r="AF36" s="787"/>
      <c r="AG36" s="788"/>
    </row>
    <row r="37" spans="1:34" ht="23.1" customHeight="1">
      <c r="A37" s="903"/>
      <c r="C37" s="258"/>
      <c r="D37" s="191"/>
      <c r="E37" s="191"/>
      <c r="F37" s="285"/>
      <c r="G37" s="214"/>
      <c r="H37" s="283"/>
      <c r="I37" s="193"/>
      <c r="J37" s="194"/>
      <c r="K37" s="194"/>
      <c r="L37" s="194"/>
      <c r="M37" s="194"/>
      <c r="N37" s="194"/>
      <c r="O37" s="194"/>
      <c r="P37" s="194"/>
      <c r="Q37" s="194"/>
      <c r="R37" s="259"/>
      <c r="T37" s="786"/>
      <c r="U37" s="787"/>
      <c r="V37" s="787"/>
      <c r="W37" s="787"/>
      <c r="X37" s="787"/>
      <c r="Y37" s="787"/>
      <c r="Z37" s="787"/>
      <c r="AA37" s="787"/>
      <c r="AB37" s="787"/>
      <c r="AC37" s="787"/>
      <c r="AD37" s="787"/>
      <c r="AE37" s="787"/>
      <c r="AF37" s="787"/>
      <c r="AG37" s="788"/>
    </row>
    <row r="38" spans="1:34" ht="23.1" customHeight="1">
      <c r="A38" s="903"/>
      <c r="C38" s="258"/>
      <c r="D38" s="191"/>
      <c r="E38" s="191"/>
      <c r="F38" s="285"/>
      <c r="G38" s="214"/>
      <c r="H38" s="283"/>
      <c r="I38" s="193"/>
      <c r="J38" s="194"/>
      <c r="K38" s="194"/>
      <c r="L38" s="194"/>
      <c r="M38" s="194"/>
      <c r="N38" s="194"/>
      <c r="O38" s="194"/>
      <c r="P38" s="194"/>
      <c r="Q38" s="194"/>
      <c r="R38" s="259"/>
      <c r="T38" s="786"/>
      <c r="U38" s="787"/>
      <c r="V38" s="787"/>
      <c r="W38" s="787"/>
      <c r="X38" s="787"/>
      <c r="Y38" s="787"/>
      <c r="Z38" s="787"/>
      <c r="AA38" s="787"/>
      <c r="AB38" s="787"/>
      <c r="AC38" s="787"/>
      <c r="AD38" s="787"/>
      <c r="AE38" s="787"/>
      <c r="AF38" s="787"/>
      <c r="AG38" s="788"/>
    </row>
    <row r="39" spans="1:34" ht="23.1" customHeight="1">
      <c r="A39" s="903"/>
      <c r="C39" s="258"/>
      <c r="D39" s="191"/>
      <c r="E39" s="191"/>
      <c r="F39" s="285"/>
      <c r="G39" s="214"/>
      <c r="H39" s="283"/>
      <c r="I39" s="193"/>
      <c r="J39" s="194"/>
      <c r="K39" s="194"/>
      <c r="L39" s="194"/>
      <c r="M39" s="194"/>
      <c r="N39" s="194"/>
      <c r="O39" s="194"/>
      <c r="P39" s="194"/>
      <c r="Q39" s="194"/>
      <c r="R39" s="259"/>
      <c r="T39" s="786"/>
      <c r="U39" s="787"/>
      <c r="V39" s="787"/>
      <c r="W39" s="787"/>
      <c r="X39" s="787"/>
      <c r="Y39" s="787"/>
      <c r="Z39" s="787"/>
      <c r="AA39" s="787"/>
      <c r="AB39" s="787"/>
      <c r="AC39" s="787"/>
      <c r="AD39" s="787"/>
      <c r="AE39" s="787"/>
      <c r="AF39" s="787"/>
      <c r="AG39" s="788"/>
    </row>
    <row r="40" spans="1:34" ht="23.1" customHeight="1">
      <c r="A40" s="903"/>
      <c r="C40" s="258"/>
      <c r="D40" s="191"/>
      <c r="E40" s="191"/>
      <c r="F40" s="285"/>
      <c r="G40" s="214"/>
      <c r="H40" s="283"/>
      <c r="I40" s="193"/>
      <c r="J40" s="194"/>
      <c r="K40" s="194"/>
      <c r="L40" s="194"/>
      <c r="M40" s="194"/>
      <c r="N40" s="194"/>
      <c r="O40" s="194"/>
      <c r="P40" s="194"/>
      <c r="Q40" s="194"/>
      <c r="R40" s="259"/>
      <c r="T40" s="786"/>
      <c r="U40" s="787"/>
      <c r="V40" s="787"/>
      <c r="W40" s="787"/>
      <c r="X40" s="787"/>
      <c r="Y40" s="787"/>
      <c r="Z40" s="787"/>
      <c r="AA40" s="787"/>
      <c r="AB40" s="787"/>
      <c r="AC40" s="787"/>
      <c r="AD40" s="787"/>
      <c r="AE40" s="787"/>
      <c r="AF40" s="787"/>
      <c r="AG40" s="788"/>
    </row>
    <row r="41" spans="1:34" ht="23.1" customHeight="1">
      <c r="A41" s="903"/>
      <c r="C41" s="258"/>
      <c r="D41" s="191"/>
      <c r="E41" s="191"/>
      <c r="F41" s="285"/>
      <c r="G41" s="214"/>
      <c r="H41" s="283"/>
      <c r="I41" s="193"/>
      <c r="J41" s="194"/>
      <c r="K41" s="194"/>
      <c r="L41" s="194"/>
      <c r="M41" s="194"/>
      <c r="N41" s="194"/>
      <c r="O41" s="194"/>
      <c r="P41" s="194"/>
      <c r="Q41" s="194"/>
      <c r="R41" s="259"/>
      <c r="T41" s="786"/>
      <c r="U41" s="787"/>
      <c r="V41" s="787"/>
      <c r="W41" s="787"/>
      <c r="X41" s="787"/>
      <c r="Y41" s="787"/>
      <c r="Z41" s="787"/>
      <c r="AA41" s="787"/>
      <c r="AB41" s="787"/>
      <c r="AC41" s="787"/>
      <c r="AD41" s="787"/>
      <c r="AE41" s="787"/>
      <c r="AF41" s="787"/>
      <c r="AG41" s="788"/>
    </row>
    <row r="42" spans="1:34" ht="23.1" customHeight="1">
      <c r="A42" s="903"/>
      <c r="C42" s="258"/>
      <c r="D42" s="191"/>
      <c r="E42" s="191"/>
      <c r="F42" s="285"/>
      <c r="G42" s="214"/>
      <c r="H42" s="283"/>
      <c r="I42" s="193"/>
      <c r="J42" s="194"/>
      <c r="K42" s="194"/>
      <c r="L42" s="194"/>
      <c r="M42" s="194"/>
      <c r="N42" s="194"/>
      <c r="O42" s="194"/>
      <c r="P42" s="194"/>
      <c r="Q42" s="194"/>
      <c r="R42" s="259"/>
      <c r="T42" s="786"/>
      <c r="U42" s="787"/>
      <c r="V42" s="787"/>
      <c r="W42" s="787"/>
      <c r="X42" s="787"/>
      <c r="Y42" s="787"/>
      <c r="Z42" s="787"/>
      <c r="AA42" s="787"/>
      <c r="AB42" s="787"/>
      <c r="AC42" s="787"/>
      <c r="AD42" s="787"/>
      <c r="AE42" s="787"/>
      <c r="AF42" s="787"/>
      <c r="AG42" s="788"/>
    </row>
    <row r="43" spans="1:34" ht="23.1" customHeight="1">
      <c r="A43" s="903"/>
      <c r="C43" s="258"/>
      <c r="D43" s="191"/>
      <c r="E43" s="191"/>
      <c r="F43" s="285"/>
      <c r="G43" s="214"/>
      <c r="H43" s="283"/>
      <c r="I43" s="193"/>
      <c r="J43" s="194"/>
      <c r="K43" s="194"/>
      <c r="L43" s="194"/>
      <c r="M43" s="194"/>
      <c r="N43" s="194"/>
      <c r="O43" s="194"/>
      <c r="P43" s="194"/>
      <c r="Q43" s="194"/>
      <c r="R43" s="259"/>
      <c r="T43" s="786"/>
      <c r="U43" s="787"/>
      <c r="V43" s="787"/>
      <c r="W43" s="787"/>
      <c r="X43" s="787"/>
      <c r="Y43" s="787"/>
      <c r="Z43" s="787"/>
      <c r="AA43" s="787"/>
      <c r="AB43" s="787"/>
      <c r="AC43" s="787"/>
      <c r="AD43" s="787"/>
      <c r="AE43" s="787"/>
      <c r="AF43" s="787"/>
      <c r="AG43" s="788"/>
    </row>
    <row r="44" spans="1:34" ht="23.1" customHeight="1">
      <c r="A44" s="903"/>
      <c r="C44" s="258"/>
      <c r="R44" s="259"/>
      <c r="T44" s="786"/>
      <c r="U44" s="787"/>
      <c r="V44" s="787"/>
      <c r="W44" s="787"/>
      <c r="X44" s="787"/>
      <c r="Y44" s="787"/>
      <c r="Z44" s="787"/>
      <c r="AA44" s="787"/>
      <c r="AB44" s="787"/>
      <c r="AC44" s="787"/>
      <c r="AD44" s="787"/>
      <c r="AE44" s="787"/>
      <c r="AF44" s="787"/>
      <c r="AG44" s="788"/>
    </row>
    <row r="45" spans="1:34" ht="23.1" customHeight="1">
      <c r="A45" s="903"/>
      <c r="C45" s="258"/>
      <c r="D45" s="5" t="s">
        <v>176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"/>
      <c r="R45" s="259"/>
      <c r="T45" s="786"/>
      <c r="U45" s="787"/>
      <c r="V45" s="787"/>
      <c r="W45" s="787"/>
      <c r="X45" s="787"/>
      <c r="Y45" s="787"/>
      <c r="Z45" s="787"/>
      <c r="AA45" s="787"/>
      <c r="AB45" s="787"/>
      <c r="AC45" s="787"/>
      <c r="AD45" s="787"/>
      <c r="AE45" s="787"/>
      <c r="AF45" s="787"/>
      <c r="AG45" s="788"/>
    </row>
    <row r="46" spans="1:34" ht="23.1" customHeight="1">
      <c r="A46" s="903"/>
      <c r="C46" s="25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59"/>
      <c r="T46" s="786"/>
      <c r="U46" s="787"/>
      <c r="V46" s="787"/>
      <c r="W46" s="787"/>
      <c r="X46" s="787"/>
      <c r="Y46" s="787"/>
      <c r="Z46" s="787"/>
      <c r="AA46" s="787"/>
      <c r="AB46" s="787"/>
      <c r="AC46" s="787"/>
      <c r="AD46" s="787"/>
      <c r="AE46" s="787"/>
      <c r="AF46" s="787"/>
      <c r="AG46" s="788"/>
    </row>
    <row r="47" spans="1:34" ht="23.1" customHeight="1">
      <c r="A47" s="903"/>
      <c r="C47" s="258"/>
      <c r="D47" s="1150" t="s">
        <v>177</v>
      </c>
      <c r="E47" s="1150"/>
      <c r="F47" s="269"/>
      <c r="G47" s="270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59"/>
      <c r="T47" s="786"/>
      <c r="U47" s="787"/>
      <c r="V47" s="787"/>
      <c r="W47" s="787"/>
      <c r="X47" s="787"/>
      <c r="Y47" s="787"/>
      <c r="Z47" s="787"/>
      <c r="AA47" s="787"/>
      <c r="AB47" s="787"/>
      <c r="AC47" s="787"/>
      <c r="AD47" s="787"/>
      <c r="AE47" s="787"/>
      <c r="AF47" s="787"/>
      <c r="AG47" s="788"/>
    </row>
    <row r="48" spans="1:34" ht="23.1" customHeight="1">
      <c r="A48" s="903"/>
      <c r="C48" s="258"/>
      <c r="D48" s="1151" t="s">
        <v>178</v>
      </c>
      <c r="E48" s="1151"/>
      <c r="F48" s="1151"/>
      <c r="G48" s="1151"/>
      <c r="R48" s="259"/>
      <c r="T48" s="786"/>
      <c r="U48" s="787"/>
      <c r="V48" s="787"/>
      <c r="W48" s="787"/>
      <c r="X48" s="787"/>
      <c r="Y48" s="787"/>
      <c r="Z48" s="787"/>
      <c r="AA48" s="787"/>
      <c r="AB48" s="787"/>
      <c r="AC48" s="787"/>
      <c r="AD48" s="787"/>
      <c r="AE48" s="787"/>
      <c r="AF48" s="787"/>
      <c r="AG48" s="788"/>
      <c r="AH48" s="827">
        <f>IF(D48="",1,0)</f>
        <v>0</v>
      </c>
    </row>
    <row r="49" spans="1:33" ht="23.1" customHeight="1">
      <c r="A49" s="903"/>
      <c r="C49" s="258"/>
      <c r="D49" s="32"/>
      <c r="E49" s="32"/>
      <c r="F49" s="32"/>
      <c r="G49" s="32"/>
      <c r="R49" s="259"/>
      <c r="T49" s="786"/>
      <c r="U49" s="787"/>
      <c r="V49" s="787"/>
      <c r="W49" s="787"/>
      <c r="X49" s="787"/>
      <c r="Y49" s="787"/>
      <c r="Z49" s="787"/>
      <c r="AA49" s="787"/>
      <c r="AB49" s="787"/>
      <c r="AC49" s="787"/>
      <c r="AD49" s="787"/>
      <c r="AE49" s="787"/>
      <c r="AF49" s="787"/>
      <c r="AG49" s="788"/>
    </row>
    <row r="50" spans="1:33" ht="23.1" customHeight="1">
      <c r="A50" s="903"/>
      <c r="C50" s="258"/>
      <c r="D50" s="32"/>
      <c r="E50" s="32"/>
      <c r="F50" s="32"/>
      <c r="G50" s="32"/>
      <c r="R50" s="259"/>
      <c r="T50" s="786"/>
      <c r="U50" s="787"/>
      <c r="V50" s="787"/>
      <c r="W50" s="787"/>
      <c r="X50" s="787"/>
      <c r="Y50" s="787"/>
      <c r="Z50" s="787"/>
      <c r="AA50" s="787"/>
      <c r="AB50" s="787"/>
      <c r="AC50" s="787"/>
      <c r="AD50" s="787"/>
      <c r="AE50" s="787"/>
      <c r="AF50" s="787"/>
      <c r="AG50" s="788"/>
    </row>
    <row r="51" spans="1:33" ht="23.1" customHeight="1">
      <c r="A51" s="903"/>
      <c r="C51" s="258"/>
      <c r="D51" s="68" t="s">
        <v>179</v>
      </c>
      <c r="E51" s="32"/>
      <c r="F51" s="32"/>
      <c r="G51" s="32"/>
      <c r="R51" s="259"/>
      <c r="T51" s="786"/>
      <c r="U51" s="787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8"/>
    </row>
    <row r="52" spans="1:33" ht="23.1" customHeight="1">
      <c r="A52" s="903"/>
      <c r="C52" s="258"/>
      <c r="D52" s="253"/>
      <c r="E52" s="32"/>
      <c r="F52" s="32"/>
      <c r="G52" s="32"/>
      <c r="R52" s="259"/>
      <c r="T52" s="786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8"/>
    </row>
    <row r="53" spans="1:33" ht="23.1" customHeight="1">
      <c r="A53" s="903"/>
      <c r="C53" s="258"/>
      <c r="D53" s="278" t="s">
        <v>180</v>
      </c>
      <c r="E53" s="32"/>
      <c r="F53" s="32"/>
      <c r="G53" s="32"/>
      <c r="R53" s="259"/>
      <c r="T53" s="786"/>
      <c r="U53" s="787"/>
      <c r="V53" s="787"/>
      <c r="W53" s="787"/>
      <c r="X53" s="787"/>
      <c r="Y53" s="787"/>
      <c r="Z53" s="787"/>
      <c r="AA53" s="787"/>
      <c r="AB53" s="787"/>
      <c r="AC53" s="787"/>
      <c r="AD53" s="787"/>
      <c r="AE53" s="787"/>
      <c r="AF53" s="787"/>
      <c r="AG53" s="788"/>
    </row>
    <row r="54" spans="1:33" ht="23.1" customHeight="1">
      <c r="A54" s="903"/>
      <c r="C54" s="258"/>
      <c r="D54" s="278" t="s">
        <v>181</v>
      </c>
      <c r="E54" s="32"/>
      <c r="F54" s="32"/>
      <c r="G54" s="32"/>
      <c r="R54" s="259"/>
      <c r="T54" s="786"/>
      <c r="U54" s="787"/>
      <c r="V54" s="787"/>
      <c r="W54" s="787"/>
      <c r="X54" s="787"/>
      <c r="Y54" s="787"/>
      <c r="Z54" s="787"/>
      <c r="AA54" s="787"/>
      <c r="AB54" s="787"/>
      <c r="AC54" s="787"/>
      <c r="AD54" s="787"/>
      <c r="AE54" s="787"/>
      <c r="AF54" s="787"/>
      <c r="AG54" s="788"/>
    </row>
    <row r="55" spans="1:33" ht="23.1" customHeight="1" thickBot="1">
      <c r="A55" s="903"/>
      <c r="C55" s="279"/>
      <c r="D55" s="1148"/>
      <c r="E55" s="1148"/>
      <c r="F55" s="1148"/>
      <c r="G55" s="1148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1"/>
      <c r="T55" s="789"/>
      <c r="U55" s="790"/>
      <c r="V55" s="790"/>
      <c r="W55" s="790"/>
      <c r="X55" s="790"/>
      <c r="Y55" s="790"/>
      <c r="Z55" s="790"/>
      <c r="AA55" s="790"/>
      <c r="AB55" s="790"/>
      <c r="AC55" s="790"/>
      <c r="AD55" s="790"/>
      <c r="AE55" s="790"/>
      <c r="AF55" s="790"/>
      <c r="AG55" s="791"/>
    </row>
    <row r="56" spans="1:33" ht="23.1" customHeight="1">
      <c r="A56" s="24"/>
      <c r="S56" s="24" t="s">
        <v>140</v>
      </c>
    </row>
    <row r="57" spans="1:33" ht="12.75">
      <c r="A57" s="24"/>
      <c r="D57" s="20" t="s">
        <v>39</v>
      </c>
      <c r="Q57" s="23" t="s">
        <v>182</v>
      </c>
    </row>
    <row r="58" spans="1:33" ht="12.75">
      <c r="A58" s="24"/>
      <c r="D58" s="20" t="s">
        <v>41</v>
      </c>
    </row>
    <row r="59" spans="1:33" ht="12.75">
      <c r="A59" s="24"/>
      <c r="D59" s="20" t="s">
        <v>42</v>
      </c>
    </row>
    <row r="60" spans="1:33" ht="12.75">
      <c r="A60" s="24"/>
      <c r="D60" s="20" t="s">
        <v>43</v>
      </c>
    </row>
    <row r="61" spans="1:33" ht="12.75">
      <c r="A61" s="24"/>
      <c r="D61" s="20" t="s">
        <v>44</v>
      </c>
    </row>
    <row r="62" spans="1:33" ht="23.1" customHeight="1">
      <c r="A62" s="24"/>
    </row>
    <row r="63" spans="1:33" ht="23.1" customHeight="1">
      <c r="A63" s="24"/>
    </row>
    <row r="64" spans="1:33" ht="23.1" customHeight="1">
      <c r="A64" s="369"/>
    </row>
    <row r="65" spans="1:1" ht="23.1" customHeight="1">
      <c r="A65" s="24"/>
    </row>
    <row r="66" spans="1:1" ht="23.1" customHeight="1">
      <c r="A66" s="24"/>
    </row>
    <row r="67" spans="1:1" ht="23.1" customHeight="1">
      <c r="A67" s="24"/>
    </row>
    <row r="68" spans="1:1" ht="23.1" customHeight="1">
      <c r="A68" s="24"/>
    </row>
    <row r="69" spans="1:1" ht="23.1" customHeight="1">
      <c r="A69" s="24"/>
    </row>
  </sheetData>
  <sheetProtection algorithmName="SHA-512" hashValue="ve/L/P1pLOECgLuZ31g+Nb2dFv9VAh0qQtaZtMZKoZhAWliL3E7nFmidNVxQH2NeUOzvedD6QDaAvnY35OH12A==" saltValue="y95t2U1jvR/c3RHXvrzCUw==" spinCount="100000" sheet="1" insertRows="0"/>
  <mergeCells count="9">
    <mergeCell ref="Q6:Q7"/>
    <mergeCell ref="D55:G55"/>
    <mergeCell ref="E9:P9"/>
    <mergeCell ref="D47:E47"/>
    <mergeCell ref="D48:G48"/>
    <mergeCell ref="M15:O15"/>
    <mergeCell ref="G15:I15"/>
    <mergeCell ref="M31:O31"/>
    <mergeCell ref="G31:I31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Y96"/>
  <sheetViews>
    <sheetView topLeftCell="F11" zoomScale="85" zoomScaleNormal="85" zoomScalePageLayoutView="50" workbookViewId="0">
      <selection activeCell="N20" sqref="N20:N21"/>
    </sheetView>
  </sheetViews>
  <sheetFormatPr baseColWidth="10" defaultColWidth="10.6640625" defaultRowHeight="23.1" customHeight="1"/>
  <cols>
    <col min="1" max="1" width="10.6640625" style="149"/>
    <col min="2" max="2" width="4.109375" style="24" bestFit="1" customWidth="1"/>
    <col min="3" max="3" width="3.109375" style="24" customWidth="1"/>
    <col min="4" max="4" width="13.5546875" style="24" customWidth="1"/>
    <col min="5" max="5" width="76.6640625" style="24" customWidth="1"/>
    <col min="6" max="9" width="18.33203125" style="24" customWidth="1"/>
    <col min="10" max="10" width="3.33203125" style="24" customWidth="1"/>
    <col min="11" max="16384" width="10.6640625" style="24"/>
  </cols>
  <sheetData>
    <row r="1" spans="1:25" ht="23.1" customHeight="1">
      <c r="A1" s="369"/>
    </row>
    <row r="2" spans="1:25" ht="23.1" customHeight="1">
      <c r="A2" s="369"/>
      <c r="E2" s="347" t="str">
        <f>_GENERAL!D2</f>
        <v>Área de Presidencia, Hacienda y Modernización</v>
      </c>
    </row>
    <row r="3" spans="1:25" ht="23.1" customHeight="1">
      <c r="A3" s="369"/>
      <c r="E3" s="347" t="str">
        <f>_GENERAL!D3</f>
        <v>Dirección Insular de Hacienda</v>
      </c>
    </row>
    <row r="4" spans="1:25" ht="23.1" customHeight="1" thickBot="1">
      <c r="A4" s="369"/>
      <c r="B4" s="24" t="s">
        <v>100</v>
      </c>
    </row>
    <row r="5" spans="1:25" ht="9" customHeight="1">
      <c r="A5" s="975"/>
      <c r="C5" s="255"/>
      <c r="D5" s="256"/>
      <c r="E5" s="256"/>
      <c r="F5" s="256"/>
      <c r="G5" s="256"/>
      <c r="H5" s="256"/>
      <c r="I5" s="256"/>
      <c r="J5" s="257"/>
      <c r="L5" s="757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</row>
    <row r="6" spans="1:25" ht="30" customHeight="1">
      <c r="A6" s="975"/>
      <c r="C6" s="258"/>
      <c r="D6" s="1" t="s">
        <v>2</v>
      </c>
      <c r="I6" s="1140">
        <f>ejercicio</f>
        <v>2022</v>
      </c>
      <c r="J6" s="259"/>
      <c r="L6" s="174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7"/>
    </row>
    <row r="7" spans="1:25" ht="30" customHeight="1">
      <c r="A7" s="975"/>
      <c r="C7" s="258"/>
      <c r="D7" s="1" t="s">
        <v>3</v>
      </c>
      <c r="I7" s="1140"/>
      <c r="J7" s="259"/>
      <c r="L7" s="178"/>
      <c r="M7" s="175" t="s">
        <v>101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0"/>
    </row>
    <row r="8" spans="1:25" ht="30" customHeight="1">
      <c r="A8" s="975"/>
      <c r="C8" s="258"/>
      <c r="D8" s="261"/>
      <c r="I8" s="228"/>
      <c r="J8" s="259"/>
      <c r="L8" s="777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9"/>
    </row>
    <row r="9" spans="1:25" s="262" customFormat="1" ht="30" customHeight="1">
      <c r="A9" s="900" t="s">
        <v>46</v>
      </c>
      <c r="B9" s="369"/>
      <c r="C9" s="966"/>
      <c r="D9" s="21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967"/>
      <c r="K9" s="369"/>
      <c r="L9" s="780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2"/>
    </row>
    <row r="10" spans="1:25" ht="6.95" customHeight="1">
      <c r="A10" s="975"/>
      <c r="C10" s="258"/>
      <c r="J10" s="259"/>
      <c r="L10" s="780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2"/>
    </row>
    <row r="11" spans="1:25" s="28" customFormat="1" ht="30" customHeight="1">
      <c r="A11" s="901"/>
      <c r="C11" s="10"/>
      <c r="D11" s="4" t="s">
        <v>183</v>
      </c>
      <c r="E11" s="4"/>
      <c r="F11" s="4"/>
      <c r="G11" s="4"/>
      <c r="H11" s="4"/>
      <c r="I11" s="4"/>
      <c r="J11" s="263"/>
      <c r="L11" s="780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2"/>
    </row>
    <row r="12" spans="1:25" s="28" customFormat="1" ht="30" customHeight="1">
      <c r="A12" s="901"/>
      <c r="C12" s="10"/>
      <c r="J12" s="263"/>
      <c r="L12" s="780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2"/>
    </row>
    <row r="13" spans="1:25" ht="23.1" customHeight="1">
      <c r="A13" s="901"/>
      <c r="C13" s="258"/>
      <c r="D13" s="559"/>
      <c r="E13" s="560"/>
      <c r="F13" s="830" t="s">
        <v>184</v>
      </c>
      <c r="G13" s="831" t="s">
        <v>185</v>
      </c>
      <c r="H13" s="832" t="s">
        <v>186</v>
      </c>
      <c r="I13" s="833" t="s">
        <v>187</v>
      </c>
      <c r="J13" s="259"/>
      <c r="L13" s="780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2"/>
    </row>
    <row r="14" spans="1:25" ht="23.1" customHeight="1">
      <c r="A14" s="902"/>
      <c r="C14" s="258"/>
      <c r="D14" s="561"/>
      <c r="E14" s="562"/>
      <c r="F14" s="834">
        <f>ejercicio-2</f>
        <v>2020</v>
      </c>
      <c r="G14" s="835">
        <f>ejercicio-1</f>
        <v>2021</v>
      </c>
      <c r="H14" s="836">
        <f>ejercicio-1</f>
        <v>2021</v>
      </c>
      <c r="I14" s="837">
        <f>ejercicio</f>
        <v>2022</v>
      </c>
      <c r="J14" s="259"/>
      <c r="L14" s="780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</row>
    <row r="15" spans="1:25" ht="23.1" customHeight="1">
      <c r="A15" s="903"/>
      <c r="C15" s="258"/>
      <c r="D15" s="537" t="s">
        <v>188</v>
      </c>
      <c r="E15" s="538" t="s">
        <v>189</v>
      </c>
      <c r="F15" s="539"/>
      <c r="G15" s="539"/>
      <c r="H15" s="539"/>
      <c r="I15" s="539"/>
      <c r="J15" s="259"/>
      <c r="L15" s="780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2"/>
    </row>
    <row r="16" spans="1:25" ht="23.1" customHeight="1">
      <c r="A16" s="903"/>
      <c r="C16" s="258"/>
      <c r="D16" s="540" t="s">
        <v>190</v>
      </c>
      <c r="E16" s="541" t="s">
        <v>191</v>
      </c>
      <c r="F16" s="542">
        <f>SUM(F17:F21)</f>
        <v>550946.65</v>
      </c>
      <c r="G16" s="542">
        <f>SUM(G17:G21)</f>
        <v>683373.46</v>
      </c>
      <c r="H16" s="542">
        <f>SUM(H17:H21)</f>
        <v>613686.66999999993</v>
      </c>
      <c r="I16" s="542">
        <f>SUM(I17:I21)</f>
        <v>729720.19</v>
      </c>
      <c r="J16" s="259"/>
      <c r="L16" s="780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2"/>
    </row>
    <row r="17" spans="1:25" ht="23.1" customHeight="1">
      <c r="A17" s="903"/>
      <c r="C17" s="258"/>
      <c r="D17" s="543" t="s">
        <v>192</v>
      </c>
      <c r="E17" s="544" t="s">
        <v>193</v>
      </c>
      <c r="F17" s="545">
        <v>1880</v>
      </c>
      <c r="G17" s="545">
        <v>1800</v>
      </c>
      <c r="H17" s="545">
        <v>1720</v>
      </c>
      <c r="I17" s="545">
        <v>1660</v>
      </c>
      <c r="J17" s="259"/>
      <c r="L17" s="780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2"/>
    </row>
    <row r="18" spans="1:25" ht="23.1" customHeight="1">
      <c r="A18" s="903"/>
      <c r="C18" s="258"/>
      <c r="D18" s="546" t="s">
        <v>194</v>
      </c>
      <c r="E18" s="547" t="s">
        <v>195</v>
      </c>
      <c r="F18" s="548">
        <v>0</v>
      </c>
      <c r="G18" s="548">
        <v>0</v>
      </c>
      <c r="H18" s="548">
        <v>0</v>
      </c>
      <c r="I18" s="548">
        <v>0</v>
      </c>
      <c r="J18" s="259"/>
      <c r="L18" s="780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2"/>
    </row>
    <row r="19" spans="1:25" ht="23.1" customHeight="1">
      <c r="A19" s="903"/>
      <c r="C19" s="258"/>
      <c r="D19" s="546" t="s">
        <v>196</v>
      </c>
      <c r="E19" s="547" t="s">
        <v>197</v>
      </c>
      <c r="F19" s="548">
        <v>42482.83</v>
      </c>
      <c r="G19" s="548">
        <v>44567.83</v>
      </c>
      <c r="H19" s="548">
        <v>42065.83</v>
      </c>
      <c r="I19" s="548">
        <v>41900</v>
      </c>
      <c r="J19" s="259"/>
      <c r="L19" s="780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2"/>
    </row>
    <row r="20" spans="1:25" ht="23.1" customHeight="1">
      <c r="A20" s="903"/>
      <c r="C20" s="258"/>
      <c r="D20" s="546" t="s">
        <v>198</v>
      </c>
      <c r="E20" s="549" t="s">
        <v>199</v>
      </c>
      <c r="F20" s="550">
        <v>506583.82</v>
      </c>
      <c r="G20" s="550">
        <v>637005.63</v>
      </c>
      <c r="H20" s="550">
        <v>569900.84</v>
      </c>
      <c r="I20" s="550">
        <v>686160.19</v>
      </c>
      <c r="J20" s="259"/>
      <c r="L20" s="780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2"/>
    </row>
    <row r="21" spans="1:25" ht="23.1" customHeight="1">
      <c r="A21" s="903"/>
      <c r="C21" s="258"/>
      <c r="D21" s="546" t="s">
        <v>200</v>
      </c>
      <c r="E21" s="549" t="s">
        <v>201</v>
      </c>
      <c r="F21" s="550">
        <v>0</v>
      </c>
      <c r="G21" s="550">
        <v>0</v>
      </c>
      <c r="H21" s="550">
        <v>0</v>
      </c>
      <c r="I21" s="550">
        <v>0</v>
      </c>
      <c r="J21" s="259"/>
      <c r="L21" s="780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2"/>
    </row>
    <row r="22" spans="1:25" ht="23.1" customHeight="1">
      <c r="A22" s="903"/>
      <c r="C22" s="258"/>
      <c r="D22" s="540" t="s">
        <v>202</v>
      </c>
      <c r="E22" s="541" t="s">
        <v>203</v>
      </c>
      <c r="F22" s="195">
        <v>286028.42</v>
      </c>
      <c r="G22" s="195">
        <v>250000</v>
      </c>
      <c r="H22" s="195">
        <v>312348.31</v>
      </c>
      <c r="I22" s="195">
        <v>320000</v>
      </c>
      <c r="J22" s="259"/>
      <c r="L22" s="780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2"/>
    </row>
    <row r="23" spans="1:25" ht="23.1" customHeight="1">
      <c r="A23" s="903"/>
      <c r="C23" s="258"/>
      <c r="D23" s="540" t="s">
        <v>204</v>
      </c>
      <c r="E23" s="541" t="s">
        <v>205</v>
      </c>
      <c r="F23" s="542">
        <f>SUM(F24:F27)</f>
        <v>0</v>
      </c>
      <c r="G23" s="542">
        <f>SUM(G24:G27)</f>
        <v>0</v>
      </c>
      <c r="H23" s="542">
        <f>SUM(H24:H27)</f>
        <v>0</v>
      </c>
      <c r="I23" s="542">
        <f>SUM(I24:I27)</f>
        <v>0</v>
      </c>
      <c r="J23" s="259"/>
      <c r="L23" s="780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2"/>
    </row>
    <row r="24" spans="1:25" ht="23.1" customHeight="1">
      <c r="A24" s="903"/>
      <c r="C24" s="258"/>
      <c r="D24" s="543" t="s">
        <v>192</v>
      </c>
      <c r="E24" s="544" t="s">
        <v>206</v>
      </c>
      <c r="F24" s="545">
        <v>0</v>
      </c>
      <c r="G24" s="545">
        <v>0</v>
      </c>
      <c r="H24" s="545">
        <v>0</v>
      </c>
      <c r="I24" s="545">
        <v>0</v>
      </c>
      <c r="J24" s="259"/>
      <c r="L24" s="780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2"/>
    </row>
    <row r="25" spans="1:25" ht="23.1" customHeight="1">
      <c r="A25" s="903"/>
      <c r="C25" s="258"/>
      <c r="D25" s="546" t="s">
        <v>194</v>
      </c>
      <c r="E25" s="549" t="s">
        <v>207</v>
      </c>
      <c r="F25" s="550">
        <v>0</v>
      </c>
      <c r="G25" s="550">
        <v>0</v>
      </c>
      <c r="H25" s="550">
        <v>0</v>
      </c>
      <c r="I25" s="550">
        <v>0</v>
      </c>
      <c r="J25" s="259"/>
      <c r="L25" s="780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2"/>
    </row>
    <row r="26" spans="1:25" ht="23.1" customHeight="1">
      <c r="A26" s="903"/>
      <c r="C26" s="258"/>
      <c r="D26" s="546" t="s">
        <v>196</v>
      </c>
      <c r="E26" s="549" t="s">
        <v>208</v>
      </c>
      <c r="F26" s="550">
        <v>0</v>
      </c>
      <c r="G26" s="550">
        <v>0</v>
      </c>
      <c r="H26" s="550">
        <v>0</v>
      </c>
      <c r="I26" s="550">
        <v>0</v>
      </c>
      <c r="J26" s="259"/>
      <c r="L26" s="780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2"/>
    </row>
    <row r="27" spans="1:25" ht="23.1" customHeight="1">
      <c r="A27" s="903"/>
      <c r="C27" s="258"/>
      <c r="D27" s="546" t="s">
        <v>198</v>
      </c>
      <c r="E27" s="549" t="s">
        <v>209</v>
      </c>
      <c r="F27" s="550">
        <v>0</v>
      </c>
      <c r="G27" s="550">
        <v>0</v>
      </c>
      <c r="H27" s="550">
        <v>0</v>
      </c>
      <c r="I27" s="550">
        <v>0</v>
      </c>
      <c r="J27" s="259"/>
      <c r="L27" s="780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2"/>
    </row>
    <row r="28" spans="1:25" ht="23.1" customHeight="1">
      <c r="A28" s="903"/>
      <c r="C28" s="258"/>
      <c r="D28" s="540" t="s">
        <v>210</v>
      </c>
      <c r="E28" s="541" t="s">
        <v>211</v>
      </c>
      <c r="F28" s="195">
        <v>0</v>
      </c>
      <c r="G28" s="195">
        <v>0</v>
      </c>
      <c r="H28" s="195">
        <v>0</v>
      </c>
      <c r="I28" s="195">
        <v>0</v>
      </c>
      <c r="J28" s="259"/>
      <c r="L28" s="780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2"/>
    </row>
    <row r="29" spans="1:25" ht="23.1" customHeight="1">
      <c r="A29" s="903"/>
      <c r="C29" s="258"/>
      <c r="D29" s="540" t="s">
        <v>212</v>
      </c>
      <c r="E29" s="541" t="s">
        <v>213</v>
      </c>
      <c r="F29" s="195">
        <v>0</v>
      </c>
      <c r="G29" s="195">
        <v>0</v>
      </c>
      <c r="H29" s="195">
        <v>0</v>
      </c>
      <c r="I29" s="195">
        <v>0</v>
      </c>
      <c r="J29" s="259"/>
      <c r="L29" s="780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2"/>
    </row>
    <row r="30" spans="1:25" ht="23.1" customHeight="1">
      <c r="A30" s="903"/>
      <c r="C30" s="258"/>
      <c r="D30" s="540" t="s">
        <v>214</v>
      </c>
      <c r="E30" s="541" t="s">
        <v>215</v>
      </c>
      <c r="F30" s="195">
        <v>-216129.79</v>
      </c>
      <c r="G30" s="195">
        <v>-200000</v>
      </c>
      <c r="H30" s="195">
        <v>-213536.99</v>
      </c>
      <c r="I30" s="195">
        <v>-217000</v>
      </c>
      <c r="J30" s="259"/>
      <c r="L30" s="783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5"/>
    </row>
    <row r="31" spans="1:25" ht="23.1" customHeight="1">
      <c r="A31" s="903"/>
      <c r="C31" s="258"/>
      <c r="D31" s="540" t="s">
        <v>216</v>
      </c>
      <c r="E31" s="541" t="s">
        <v>217</v>
      </c>
      <c r="F31" s="195">
        <v>29740.74</v>
      </c>
      <c r="G31" s="195">
        <v>39304</v>
      </c>
      <c r="H31" s="195">
        <v>33691.74</v>
      </c>
      <c r="I31" s="195">
        <v>34000</v>
      </c>
      <c r="J31" s="259"/>
      <c r="L31" s="783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5"/>
    </row>
    <row r="32" spans="1:25" ht="23.1" customHeight="1">
      <c r="A32" s="903"/>
      <c r="C32" s="258"/>
      <c r="D32" s="540" t="s">
        <v>218</v>
      </c>
      <c r="E32" s="541" t="s">
        <v>219</v>
      </c>
      <c r="F32" s="195">
        <v>-361107.68</v>
      </c>
      <c r="G32" s="195">
        <v>-397160.19</v>
      </c>
      <c r="H32" s="195">
        <v>-333069.19</v>
      </c>
      <c r="I32" s="195">
        <v>-397280.31</v>
      </c>
      <c r="J32" s="259"/>
      <c r="L32" s="780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782"/>
    </row>
    <row r="33" spans="1:25" ht="23.1" customHeight="1">
      <c r="A33" s="903"/>
      <c r="C33" s="258"/>
      <c r="D33" s="540" t="s">
        <v>220</v>
      </c>
      <c r="E33" s="541" t="s">
        <v>221</v>
      </c>
      <c r="F33" s="542">
        <f>SUM(F34:F37)</f>
        <v>-260478.78</v>
      </c>
      <c r="G33" s="542">
        <f>SUM(G34:G37)</f>
        <v>-365156.54</v>
      </c>
      <c r="H33" s="542">
        <f t="shared" ref="H33:I33" si="0">SUM(H34:H37)</f>
        <v>-375931.3</v>
      </c>
      <c r="I33" s="542">
        <f t="shared" si="0"/>
        <v>-459179.62</v>
      </c>
      <c r="J33" s="259"/>
      <c r="L33" s="780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2"/>
    </row>
    <row r="34" spans="1:25" ht="23.1" customHeight="1">
      <c r="A34" s="903"/>
      <c r="C34" s="258"/>
      <c r="D34" s="543" t="s">
        <v>192</v>
      </c>
      <c r="E34" s="549" t="s">
        <v>222</v>
      </c>
      <c r="F34" s="658">
        <v>-259217.08</v>
      </c>
      <c r="G34" s="658">
        <v>-363381.54</v>
      </c>
      <c r="H34" s="658">
        <v>-374683.32</v>
      </c>
      <c r="I34" s="658">
        <v>-457929.62</v>
      </c>
      <c r="J34" s="259"/>
      <c r="L34" s="780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2"/>
    </row>
    <row r="35" spans="1:25" ht="23.1" customHeight="1">
      <c r="A35" s="903"/>
      <c r="C35" s="258"/>
      <c r="D35" s="546" t="s">
        <v>194</v>
      </c>
      <c r="E35" s="549" t="s">
        <v>223</v>
      </c>
      <c r="F35" s="548">
        <v>-1261.7</v>
      </c>
      <c r="G35" s="548">
        <v>-1775</v>
      </c>
      <c r="H35" s="548">
        <v>-1247.98</v>
      </c>
      <c r="I35" s="548">
        <v>-1250</v>
      </c>
      <c r="J35" s="259"/>
      <c r="L35" s="780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2"/>
    </row>
    <row r="36" spans="1:25" ht="23.1" customHeight="1">
      <c r="A36" s="903"/>
      <c r="C36" s="258"/>
      <c r="D36" s="546" t="s">
        <v>196</v>
      </c>
      <c r="E36" s="549" t="s">
        <v>224</v>
      </c>
      <c r="F36" s="548">
        <v>0</v>
      </c>
      <c r="G36" s="548">
        <v>0</v>
      </c>
      <c r="H36" s="548">
        <v>0</v>
      </c>
      <c r="I36" s="548">
        <v>0</v>
      </c>
      <c r="J36" s="259"/>
      <c r="L36" s="780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2"/>
    </row>
    <row r="37" spans="1:25" ht="23.1" customHeight="1">
      <c r="A37" s="903"/>
      <c r="C37" s="258"/>
      <c r="D37" s="656" t="s">
        <v>198</v>
      </c>
      <c r="E37" s="655" t="s">
        <v>225</v>
      </c>
      <c r="F37" s="657">
        <v>0</v>
      </c>
      <c r="G37" s="657">
        <v>0</v>
      </c>
      <c r="H37" s="657">
        <v>0</v>
      </c>
      <c r="I37" s="657">
        <v>0</v>
      </c>
      <c r="J37" s="259"/>
      <c r="L37" s="780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2"/>
    </row>
    <row r="38" spans="1:25" ht="23.1" customHeight="1">
      <c r="A38" s="903"/>
      <c r="C38" s="258"/>
      <c r="D38" s="540" t="s">
        <v>226</v>
      </c>
      <c r="E38" s="541" t="s">
        <v>227</v>
      </c>
      <c r="F38" s="195">
        <v>-15706.23</v>
      </c>
      <c r="G38" s="195">
        <v>-14199.18</v>
      </c>
      <c r="H38" s="195">
        <v>-14760.94</v>
      </c>
      <c r="I38" s="195">
        <v>-14060.09</v>
      </c>
      <c r="J38" s="259"/>
      <c r="L38" s="780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2"/>
    </row>
    <row r="39" spans="1:25" ht="23.1" customHeight="1">
      <c r="A39" s="903"/>
      <c r="C39" s="258"/>
      <c r="D39" s="540" t="s">
        <v>228</v>
      </c>
      <c r="E39" s="541" t="s">
        <v>229</v>
      </c>
      <c r="F39" s="195">
        <v>3990.54</v>
      </c>
      <c r="G39" s="195">
        <v>3920.98</v>
      </c>
      <c r="H39" s="195">
        <v>3920.98</v>
      </c>
      <c r="I39" s="195">
        <v>3799.83</v>
      </c>
      <c r="J39" s="259"/>
      <c r="L39" s="780"/>
      <c r="M39" s="781"/>
      <c r="N39" s="781"/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782"/>
    </row>
    <row r="40" spans="1:25" ht="23.1" customHeight="1">
      <c r="A40" s="903"/>
      <c r="C40" s="258"/>
      <c r="D40" s="540" t="s">
        <v>230</v>
      </c>
      <c r="E40" s="541" t="s">
        <v>231</v>
      </c>
      <c r="F40" s="195">
        <v>0</v>
      </c>
      <c r="G40" s="195">
        <v>0</v>
      </c>
      <c r="H40" s="195">
        <v>0</v>
      </c>
      <c r="I40" s="195">
        <v>0</v>
      </c>
      <c r="J40" s="259"/>
      <c r="L40" s="786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787"/>
      <c r="Y40" s="788"/>
    </row>
    <row r="41" spans="1:25" ht="23.1" customHeight="1">
      <c r="A41" s="903"/>
      <c r="C41" s="258"/>
      <c r="D41" s="540" t="s">
        <v>232</v>
      </c>
      <c r="E41" s="541" t="s">
        <v>233</v>
      </c>
      <c r="F41" s="195">
        <v>0</v>
      </c>
      <c r="G41" s="195">
        <v>0</v>
      </c>
      <c r="H41" s="195">
        <v>-293.93</v>
      </c>
      <c r="I41" s="195">
        <v>0</v>
      </c>
      <c r="J41" s="259"/>
      <c r="L41" s="786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7"/>
      <c r="X41" s="787"/>
      <c r="Y41" s="788"/>
    </row>
    <row r="42" spans="1:25" ht="23.1" customHeight="1">
      <c r="A42" s="903"/>
      <c r="C42" s="258"/>
      <c r="D42" s="540" t="s">
        <v>234</v>
      </c>
      <c r="E42" s="541" t="s">
        <v>235</v>
      </c>
      <c r="F42" s="195">
        <v>3349.98</v>
      </c>
      <c r="G42" s="195">
        <v>0</v>
      </c>
      <c r="H42" s="195">
        <v>0</v>
      </c>
      <c r="I42" s="195">
        <v>0</v>
      </c>
      <c r="J42" s="259"/>
      <c r="L42" s="786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7"/>
      <c r="X42" s="787"/>
      <c r="Y42" s="788"/>
    </row>
    <row r="43" spans="1:25" ht="23.1" customHeight="1" thickBot="1">
      <c r="A43" s="903"/>
      <c r="C43" s="258"/>
      <c r="D43" s="551" t="s">
        <v>236</v>
      </c>
      <c r="E43" s="552" t="s">
        <v>237</v>
      </c>
      <c r="F43" s="553">
        <f>F16+F22+F23+SUM(F28:F33)+SUM(F38:F42)</f>
        <v>20633.850000000057</v>
      </c>
      <c r="G43" s="553">
        <f>G16+G22+G23+SUM(G28:G33)+SUM(G38:G42)</f>
        <v>82.529999999980646</v>
      </c>
      <c r="H43" s="553">
        <f t="shared" ref="H43:I43" si="1">H16+H22+H23+SUM(H28:H33)+SUM(H38:H42)</f>
        <v>26055.349999999991</v>
      </c>
      <c r="I43" s="553">
        <f t="shared" si="1"/>
        <v>-1.0732037480920553E-10</v>
      </c>
      <c r="J43" s="259"/>
      <c r="L43" s="786"/>
      <c r="M43" s="787"/>
      <c r="N43" s="787"/>
      <c r="O43" s="787"/>
      <c r="P43" s="787"/>
      <c r="Q43" s="787"/>
      <c r="R43" s="787"/>
      <c r="S43" s="787"/>
      <c r="T43" s="787"/>
      <c r="U43" s="787"/>
      <c r="V43" s="787"/>
      <c r="W43" s="787"/>
      <c r="X43" s="787"/>
      <c r="Y43" s="788"/>
    </row>
    <row r="44" spans="1:25" ht="23.1" customHeight="1">
      <c r="A44" s="903"/>
      <c r="C44" s="258"/>
      <c r="D44" s="554"/>
      <c r="E44" s="1"/>
      <c r="F44" s="539"/>
      <c r="G44" s="539"/>
      <c r="H44" s="539"/>
      <c r="I44" s="539"/>
      <c r="J44" s="259"/>
      <c r="L44" s="792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4"/>
    </row>
    <row r="45" spans="1:25" ht="23.1" customHeight="1">
      <c r="A45" s="903"/>
      <c r="C45" s="258"/>
      <c r="D45" s="540" t="s">
        <v>238</v>
      </c>
      <c r="E45" s="541" t="s">
        <v>239</v>
      </c>
      <c r="F45" s="542">
        <f>F46+F47</f>
        <v>0.14000000000000001</v>
      </c>
      <c r="G45" s="542">
        <f>G46+G47</f>
        <v>0</v>
      </c>
      <c r="H45" s="542">
        <f t="shared" ref="H45:I45" si="2">H46+H47</f>
        <v>1.34</v>
      </c>
      <c r="I45" s="542">
        <f t="shared" si="2"/>
        <v>0</v>
      </c>
      <c r="J45" s="259"/>
      <c r="L45" s="792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4"/>
    </row>
    <row r="46" spans="1:25" ht="23.1" customHeight="1">
      <c r="A46" s="903"/>
      <c r="C46" s="258"/>
      <c r="D46" s="546" t="s">
        <v>192</v>
      </c>
      <c r="E46" s="549" t="s">
        <v>240</v>
      </c>
      <c r="F46" s="545">
        <v>0</v>
      </c>
      <c r="G46" s="545">
        <v>0</v>
      </c>
      <c r="H46" s="545">
        <v>0</v>
      </c>
      <c r="I46" s="545">
        <v>0</v>
      </c>
      <c r="J46" s="259"/>
      <c r="L46" s="786"/>
      <c r="M46" s="787"/>
      <c r="N46" s="787"/>
      <c r="O46" s="787"/>
      <c r="P46" s="787"/>
      <c r="Q46" s="787"/>
      <c r="R46" s="787"/>
      <c r="S46" s="787"/>
      <c r="T46" s="787"/>
      <c r="U46" s="787"/>
      <c r="V46" s="787"/>
      <c r="W46" s="787"/>
      <c r="X46" s="787"/>
      <c r="Y46" s="788"/>
    </row>
    <row r="47" spans="1:25" ht="23.1" customHeight="1">
      <c r="A47" s="903"/>
      <c r="C47" s="258"/>
      <c r="D47" s="656" t="s">
        <v>194</v>
      </c>
      <c r="E47" s="655" t="s">
        <v>241</v>
      </c>
      <c r="F47" s="657">
        <v>0.14000000000000001</v>
      </c>
      <c r="G47" s="657">
        <v>0</v>
      </c>
      <c r="H47" s="657">
        <v>1.34</v>
      </c>
      <c r="I47" s="657">
        <v>0</v>
      </c>
      <c r="J47" s="259"/>
      <c r="L47" s="786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8"/>
    </row>
    <row r="48" spans="1:25" ht="23.1" customHeight="1">
      <c r="A48" s="903"/>
      <c r="C48" s="258"/>
      <c r="D48" s="540" t="s">
        <v>242</v>
      </c>
      <c r="E48" s="541" t="s">
        <v>243</v>
      </c>
      <c r="F48" s="542">
        <f>F49+F50+F51</f>
        <v>0</v>
      </c>
      <c r="G48" s="542">
        <f>G49+G50+G51</f>
        <v>0</v>
      </c>
      <c r="H48" s="542">
        <f t="shared" ref="H48:I48" si="3">H49+H50+H51</f>
        <v>0</v>
      </c>
      <c r="I48" s="542">
        <f t="shared" si="3"/>
        <v>0</v>
      </c>
      <c r="J48" s="259"/>
      <c r="L48" s="786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7"/>
      <c r="X48" s="787"/>
      <c r="Y48" s="788"/>
    </row>
    <row r="49" spans="1:25" ht="23.1" customHeight="1">
      <c r="A49" s="903"/>
      <c r="C49" s="258"/>
      <c r="D49" s="543" t="s">
        <v>192</v>
      </c>
      <c r="E49" s="549" t="s">
        <v>244</v>
      </c>
      <c r="F49" s="658">
        <v>0</v>
      </c>
      <c r="G49" s="658">
        <v>0</v>
      </c>
      <c r="H49" s="658">
        <v>0</v>
      </c>
      <c r="I49" s="658">
        <v>0</v>
      </c>
      <c r="J49" s="259"/>
      <c r="L49" s="786"/>
      <c r="M49" s="787"/>
      <c r="N49" s="787"/>
      <c r="O49" s="787"/>
      <c r="P49" s="787"/>
      <c r="Q49" s="787"/>
      <c r="R49" s="787"/>
      <c r="S49" s="787"/>
      <c r="T49" s="787"/>
      <c r="U49" s="787"/>
      <c r="V49" s="787"/>
      <c r="W49" s="787"/>
      <c r="X49" s="787"/>
      <c r="Y49" s="788"/>
    </row>
    <row r="50" spans="1:25" ht="23.1" customHeight="1">
      <c r="A50" s="903"/>
      <c r="C50" s="258"/>
      <c r="D50" s="546" t="s">
        <v>194</v>
      </c>
      <c r="E50" s="549" t="s">
        <v>245</v>
      </c>
      <c r="F50" s="548">
        <v>0</v>
      </c>
      <c r="G50" s="548">
        <v>0</v>
      </c>
      <c r="H50" s="548">
        <v>0</v>
      </c>
      <c r="I50" s="548">
        <v>0</v>
      </c>
      <c r="J50" s="259"/>
      <c r="L50" s="786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787"/>
      <c r="Y50" s="788"/>
    </row>
    <row r="51" spans="1:25" ht="23.1" customHeight="1">
      <c r="A51" s="903"/>
      <c r="C51" s="258"/>
      <c r="D51" s="656" t="s">
        <v>196</v>
      </c>
      <c r="E51" s="655" t="s">
        <v>246</v>
      </c>
      <c r="F51" s="657">
        <v>0</v>
      </c>
      <c r="G51" s="657">
        <v>0</v>
      </c>
      <c r="H51" s="657">
        <v>0</v>
      </c>
      <c r="I51" s="657">
        <v>0</v>
      </c>
      <c r="J51" s="259"/>
      <c r="L51" s="786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787"/>
      <c r="Y51" s="788"/>
    </row>
    <row r="52" spans="1:25" ht="23.1" customHeight="1">
      <c r="A52" s="903"/>
      <c r="C52" s="258"/>
      <c r="D52" s="540" t="s">
        <v>247</v>
      </c>
      <c r="E52" s="541" t="s">
        <v>248</v>
      </c>
      <c r="F52" s="195">
        <v>0</v>
      </c>
      <c r="G52" s="195">
        <v>0</v>
      </c>
      <c r="H52" s="195">
        <v>0</v>
      </c>
      <c r="I52" s="195">
        <v>0</v>
      </c>
      <c r="J52" s="259"/>
      <c r="L52" s="786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8"/>
    </row>
    <row r="53" spans="1:25" ht="23.1" customHeight="1">
      <c r="A53" s="903"/>
      <c r="C53" s="258"/>
      <c r="D53" s="540" t="s">
        <v>249</v>
      </c>
      <c r="E53" s="541" t="s">
        <v>250</v>
      </c>
      <c r="F53" s="195">
        <v>-1.47</v>
      </c>
      <c r="G53" s="195">
        <v>0</v>
      </c>
      <c r="H53" s="195">
        <v>-1.1599999999999999</v>
      </c>
      <c r="I53" s="195">
        <v>0</v>
      </c>
      <c r="J53" s="259"/>
      <c r="L53" s="786"/>
      <c r="M53" s="787"/>
      <c r="N53" s="787"/>
      <c r="O53" s="787"/>
      <c r="P53" s="787"/>
      <c r="Q53" s="787"/>
      <c r="R53" s="787"/>
      <c r="S53" s="787"/>
      <c r="T53" s="787"/>
      <c r="U53" s="787"/>
      <c r="V53" s="787"/>
      <c r="W53" s="787"/>
      <c r="X53" s="787"/>
      <c r="Y53" s="788"/>
    </row>
    <row r="54" spans="1:25" ht="23.1" customHeight="1">
      <c r="A54" s="903"/>
      <c r="C54" s="258"/>
      <c r="D54" s="540" t="s">
        <v>251</v>
      </c>
      <c r="E54" s="541" t="s">
        <v>252</v>
      </c>
      <c r="F54" s="195">
        <v>0</v>
      </c>
      <c r="G54" s="195">
        <v>0</v>
      </c>
      <c r="H54" s="195">
        <v>0</v>
      </c>
      <c r="I54" s="195">
        <v>0</v>
      </c>
      <c r="J54" s="259"/>
      <c r="L54" s="786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8"/>
    </row>
    <row r="55" spans="1:25" ht="23.1" customHeight="1" thickBot="1">
      <c r="A55" s="903"/>
      <c r="C55" s="258"/>
      <c r="D55" s="551" t="s">
        <v>253</v>
      </c>
      <c r="E55" s="552" t="s">
        <v>254</v>
      </c>
      <c r="F55" s="553">
        <f>F45+F48+F52+F53+F54</f>
        <v>-1.33</v>
      </c>
      <c r="G55" s="553">
        <f>G45+G48+G52+G53+G54</f>
        <v>0</v>
      </c>
      <c r="H55" s="553">
        <f t="shared" ref="H55" si="4">H45+H48+H52+H53+H54</f>
        <v>0.18000000000000016</v>
      </c>
      <c r="I55" s="553">
        <f>I45+I48+I52+I53+I54</f>
        <v>0</v>
      </c>
      <c r="J55" s="259"/>
      <c r="L55" s="786"/>
      <c r="M55" s="787"/>
      <c r="N55" s="787"/>
      <c r="O55" s="787"/>
      <c r="P55" s="787"/>
      <c r="Q55" s="787"/>
      <c r="R55" s="787"/>
      <c r="S55" s="787"/>
      <c r="T55" s="787"/>
      <c r="U55" s="787"/>
      <c r="V55" s="787"/>
      <c r="W55" s="787"/>
      <c r="X55" s="787"/>
      <c r="Y55" s="788"/>
    </row>
    <row r="56" spans="1:25" ht="23.1" customHeight="1">
      <c r="A56" s="903"/>
      <c r="C56" s="258"/>
      <c r="D56" s="555"/>
      <c r="E56" s="556"/>
      <c r="F56" s="539"/>
      <c r="G56" s="539"/>
      <c r="H56" s="539"/>
      <c r="I56" s="539"/>
      <c r="J56" s="259"/>
      <c r="L56" s="786"/>
      <c r="M56" s="787"/>
      <c r="N56" s="787"/>
      <c r="O56" s="787"/>
      <c r="P56" s="787"/>
      <c r="Q56" s="787"/>
      <c r="R56" s="787"/>
      <c r="S56" s="787"/>
      <c r="T56" s="787"/>
      <c r="U56" s="787"/>
      <c r="V56" s="787"/>
      <c r="W56" s="787"/>
      <c r="X56" s="787"/>
      <c r="Y56" s="788"/>
    </row>
    <row r="57" spans="1:25" ht="23.1" customHeight="1" thickBot="1">
      <c r="A57" s="903"/>
      <c r="C57" s="258"/>
      <c r="D57" s="551" t="s">
        <v>255</v>
      </c>
      <c r="E57" s="552" t="s">
        <v>256</v>
      </c>
      <c r="F57" s="557">
        <f>F55+F43</f>
        <v>20632.520000000055</v>
      </c>
      <c r="G57" s="557">
        <f>G55+G43</f>
        <v>82.529999999980646</v>
      </c>
      <c r="H57" s="557">
        <f>H55+H43</f>
        <v>26055.529999999992</v>
      </c>
      <c r="I57" s="557">
        <f>I55+I43</f>
        <v>-1.0732037480920553E-10</v>
      </c>
      <c r="J57" s="259"/>
      <c r="L57" s="786"/>
      <c r="M57" s="787"/>
      <c r="N57" s="787"/>
      <c r="O57" s="787"/>
      <c r="P57" s="787"/>
      <c r="Q57" s="787"/>
      <c r="R57" s="787"/>
      <c r="S57" s="787"/>
      <c r="T57" s="787"/>
      <c r="U57" s="787"/>
      <c r="V57" s="787"/>
      <c r="W57" s="787"/>
      <c r="X57" s="787"/>
      <c r="Y57" s="788"/>
    </row>
    <row r="58" spans="1:25" ht="23.1" customHeight="1">
      <c r="A58" s="903"/>
      <c r="C58" s="258"/>
      <c r="D58" s="540" t="s">
        <v>257</v>
      </c>
      <c r="E58" s="541" t="s">
        <v>258</v>
      </c>
      <c r="F58" s="195">
        <v>-5158.13</v>
      </c>
      <c r="G58" s="195">
        <v>-20.63</v>
      </c>
      <c r="H58" s="195">
        <v>-6513.88</v>
      </c>
      <c r="I58" s="195">
        <v>0</v>
      </c>
      <c r="J58" s="259"/>
      <c r="L58" s="786"/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8"/>
    </row>
    <row r="59" spans="1:25" s="563" customFormat="1" ht="23.1" customHeight="1">
      <c r="A59" s="903"/>
      <c r="C59" s="258"/>
      <c r="D59" s="558"/>
      <c r="E59" s="369"/>
      <c r="F59" s="539"/>
      <c r="G59" s="539"/>
      <c r="H59" s="539"/>
      <c r="I59" s="539"/>
      <c r="J59" s="259"/>
      <c r="K59" s="24"/>
      <c r="L59" s="786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8"/>
    </row>
    <row r="60" spans="1:25" s="629" customFormat="1" ht="39" customHeight="1" thickBot="1">
      <c r="A60" s="903"/>
      <c r="C60" s="624"/>
      <c r="D60" s="625" t="s">
        <v>259</v>
      </c>
      <c r="E60" s="626" t="s">
        <v>260</v>
      </c>
      <c r="F60" s="627">
        <f>F57+F58</f>
        <v>15474.390000000054</v>
      </c>
      <c r="G60" s="627">
        <f>G57+G58</f>
        <v>61.899999999980651</v>
      </c>
      <c r="H60" s="627">
        <f>H57+H58</f>
        <v>19541.649999999991</v>
      </c>
      <c r="I60" s="627">
        <f>I57+I58</f>
        <v>-1.0732037480920553E-10</v>
      </c>
      <c r="J60" s="628"/>
      <c r="L60" s="795"/>
      <c r="M60" s="1134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7"/>
    </row>
    <row r="61" spans="1:25" ht="11.1" customHeight="1">
      <c r="A61" s="975"/>
      <c r="C61" s="258"/>
      <c r="D61" s="608"/>
      <c r="E61" s="29"/>
      <c r="F61" s="609"/>
      <c r="G61" s="609"/>
      <c r="H61" s="609"/>
      <c r="I61" s="609"/>
      <c r="J61" s="259"/>
      <c r="L61" s="792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4"/>
    </row>
    <row r="62" spans="1:25" ht="23.1" customHeight="1">
      <c r="A62" s="975"/>
      <c r="C62" s="258"/>
      <c r="D62" s="610" t="s">
        <v>261</v>
      </c>
      <c r="E62" s="611" t="s">
        <v>262</v>
      </c>
      <c r="F62" s="612"/>
      <c r="G62" s="612"/>
      <c r="H62" s="612"/>
      <c r="I62" s="612"/>
      <c r="J62" s="259"/>
      <c r="L62" s="792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4"/>
    </row>
    <row r="63" spans="1:25" ht="33" customHeight="1">
      <c r="A63" s="975"/>
      <c r="C63" s="258"/>
      <c r="D63" s="540" t="s">
        <v>190</v>
      </c>
      <c r="E63" s="541" t="s">
        <v>263</v>
      </c>
      <c r="F63" s="195">
        <v>0</v>
      </c>
      <c r="G63" s="195">
        <v>0</v>
      </c>
      <c r="H63" s="195">
        <v>0</v>
      </c>
      <c r="I63" s="195">
        <v>0</v>
      </c>
      <c r="J63" s="259"/>
      <c r="L63" s="792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4"/>
    </row>
    <row r="64" spans="1:25" ht="23.1" customHeight="1">
      <c r="A64" s="975"/>
      <c r="C64" s="258"/>
      <c r="D64" s="540" t="s">
        <v>202</v>
      </c>
      <c r="E64" s="541" t="s">
        <v>264</v>
      </c>
      <c r="F64" s="195">
        <v>0</v>
      </c>
      <c r="G64" s="195">
        <v>0</v>
      </c>
      <c r="H64" s="195">
        <v>0</v>
      </c>
      <c r="I64" s="195">
        <v>0</v>
      </c>
      <c r="J64" s="259"/>
      <c r="L64" s="792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4"/>
    </row>
    <row r="65" spans="1:25" ht="23.1" customHeight="1">
      <c r="A65" s="975"/>
      <c r="C65" s="258"/>
      <c r="D65" s="540" t="s">
        <v>204</v>
      </c>
      <c r="E65" s="541" t="s">
        <v>265</v>
      </c>
      <c r="F65" s="195">
        <v>0</v>
      </c>
      <c r="G65" s="195">
        <v>0</v>
      </c>
      <c r="H65" s="195">
        <v>0</v>
      </c>
      <c r="I65" s="195">
        <v>0</v>
      </c>
      <c r="J65" s="259"/>
      <c r="L65" s="792"/>
      <c r="M65" s="793"/>
      <c r="N65" s="793"/>
      <c r="O65" s="793"/>
      <c r="P65" s="793"/>
      <c r="Q65" s="793"/>
      <c r="R65" s="793"/>
      <c r="S65" s="793"/>
      <c r="T65" s="793"/>
      <c r="U65" s="793"/>
      <c r="V65" s="793"/>
      <c r="W65" s="793"/>
      <c r="X65" s="793"/>
      <c r="Y65" s="794"/>
    </row>
    <row r="66" spans="1:25" ht="23.1" customHeight="1">
      <c r="A66" s="975"/>
      <c r="C66" s="258"/>
      <c r="D66" s="540" t="s">
        <v>210</v>
      </c>
      <c r="E66" s="541" t="s">
        <v>266</v>
      </c>
      <c r="F66" s="195">
        <v>0</v>
      </c>
      <c r="G66" s="195">
        <v>0</v>
      </c>
      <c r="H66" s="195">
        <v>0</v>
      </c>
      <c r="I66" s="195">
        <v>0</v>
      </c>
      <c r="J66" s="259"/>
      <c r="L66" s="792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4"/>
    </row>
    <row r="67" spans="1:25" ht="23.1" customHeight="1">
      <c r="A67" s="975"/>
      <c r="C67" s="258"/>
      <c r="D67" s="540" t="s">
        <v>212</v>
      </c>
      <c r="E67" s="541" t="s">
        <v>267</v>
      </c>
      <c r="F67" s="195">
        <v>0</v>
      </c>
      <c r="G67" s="195">
        <v>0</v>
      </c>
      <c r="H67" s="195">
        <v>0</v>
      </c>
      <c r="I67" s="195">
        <v>0</v>
      </c>
      <c r="J67" s="259"/>
      <c r="L67" s="792"/>
      <c r="M67" s="793"/>
      <c r="N67" s="793"/>
      <c r="O67" s="793"/>
      <c r="P67" s="793"/>
      <c r="Q67" s="793"/>
      <c r="R67" s="793"/>
      <c r="S67" s="793"/>
      <c r="T67" s="793"/>
      <c r="U67" s="793"/>
      <c r="V67" s="793"/>
      <c r="W67" s="793"/>
      <c r="X67" s="793"/>
      <c r="Y67" s="794"/>
    </row>
    <row r="68" spans="1:25" ht="23.1" customHeight="1">
      <c r="A68" s="975"/>
      <c r="C68" s="258"/>
      <c r="D68" s="540" t="s">
        <v>214</v>
      </c>
      <c r="E68" s="541" t="s">
        <v>268</v>
      </c>
      <c r="F68" s="195">
        <v>0</v>
      </c>
      <c r="G68" s="195">
        <v>0</v>
      </c>
      <c r="H68" s="195">
        <v>0</v>
      </c>
      <c r="I68" s="195">
        <v>0</v>
      </c>
      <c r="J68" s="259"/>
      <c r="L68" s="792"/>
      <c r="M68" s="793"/>
      <c r="N68" s="793"/>
      <c r="O68" s="793"/>
      <c r="P68" s="793"/>
      <c r="Q68" s="793"/>
      <c r="R68" s="793"/>
      <c r="S68" s="793"/>
      <c r="T68" s="793"/>
      <c r="U68" s="793"/>
      <c r="V68" s="793"/>
      <c r="W68" s="793"/>
      <c r="X68" s="793"/>
      <c r="Y68" s="794"/>
    </row>
    <row r="69" spans="1:25" s="287" customFormat="1" ht="39.950000000000003" customHeight="1" thickBot="1">
      <c r="A69" s="975"/>
      <c r="C69" s="613"/>
      <c r="D69" s="614" t="s">
        <v>269</v>
      </c>
      <c r="E69" s="615" t="s">
        <v>270</v>
      </c>
      <c r="F69" s="616">
        <f>SUM(F64:F68)</f>
        <v>0</v>
      </c>
      <c r="G69" s="616">
        <f>SUM(G64:G68)</f>
        <v>0</v>
      </c>
      <c r="H69" s="616">
        <f>SUM(H64:H68)</f>
        <v>0</v>
      </c>
      <c r="I69" s="616">
        <f>SUM(I64:I68)</f>
        <v>0</v>
      </c>
      <c r="J69" s="617"/>
      <c r="L69" s="792"/>
      <c r="M69" s="793"/>
      <c r="N69" s="793"/>
      <c r="O69" s="793"/>
      <c r="P69" s="793"/>
      <c r="Q69" s="793"/>
      <c r="R69" s="793"/>
      <c r="S69" s="793"/>
      <c r="T69" s="793"/>
      <c r="U69" s="793"/>
      <c r="V69" s="793"/>
      <c r="W69" s="793"/>
      <c r="X69" s="793"/>
      <c r="Y69" s="794"/>
    </row>
    <row r="70" spans="1:25" ht="9" customHeight="1">
      <c r="A70" s="975"/>
      <c r="C70" s="258"/>
      <c r="D70" s="608"/>
      <c r="E70" s="29"/>
      <c r="F70" s="609"/>
      <c r="G70" s="609"/>
      <c r="H70" s="609"/>
      <c r="I70" s="609"/>
      <c r="J70" s="259"/>
      <c r="L70" s="792"/>
      <c r="M70" s="793"/>
      <c r="N70" s="793"/>
      <c r="O70" s="793"/>
      <c r="P70" s="793"/>
      <c r="Q70" s="793"/>
      <c r="R70" s="793"/>
      <c r="S70" s="793"/>
      <c r="T70" s="793"/>
      <c r="U70" s="793"/>
      <c r="V70" s="793"/>
      <c r="W70" s="793"/>
      <c r="X70" s="793"/>
      <c r="Y70" s="794"/>
    </row>
    <row r="71" spans="1:25" ht="23.1" customHeight="1">
      <c r="A71" s="975"/>
      <c r="C71" s="258"/>
      <c r="D71" s="610" t="s">
        <v>271</v>
      </c>
      <c r="E71" s="611" t="s">
        <v>272</v>
      </c>
      <c r="F71" s="612"/>
      <c r="G71" s="612"/>
      <c r="H71" s="612"/>
      <c r="I71" s="612"/>
      <c r="J71" s="259"/>
      <c r="L71" s="792"/>
      <c r="M71" s="793"/>
      <c r="N71" s="793"/>
      <c r="O71" s="793"/>
      <c r="P71" s="793"/>
      <c r="Q71" s="793"/>
      <c r="R71" s="793"/>
      <c r="S71" s="793"/>
      <c r="T71" s="793"/>
      <c r="U71" s="793"/>
      <c r="V71" s="793"/>
      <c r="W71" s="793"/>
      <c r="X71" s="793"/>
      <c r="Y71" s="794"/>
    </row>
    <row r="72" spans="1:25" ht="23.1" customHeight="1">
      <c r="A72" s="975"/>
      <c r="C72" s="258"/>
      <c r="D72" s="540" t="s">
        <v>190</v>
      </c>
      <c r="E72" s="541" t="s">
        <v>263</v>
      </c>
      <c r="F72" s="195">
        <v>0</v>
      </c>
      <c r="G72" s="195">
        <v>0</v>
      </c>
      <c r="H72" s="195">
        <v>0</v>
      </c>
      <c r="I72" s="195">
        <v>0</v>
      </c>
      <c r="J72" s="259"/>
      <c r="L72" s="792"/>
      <c r="M72" s="793"/>
      <c r="N72" s="793"/>
      <c r="O72" s="793"/>
      <c r="P72" s="793"/>
      <c r="Q72" s="793"/>
      <c r="R72" s="793"/>
      <c r="S72" s="793"/>
      <c r="T72" s="793"/>
      <c r="U72" s="793"/>
      <c r="V72" s="793"/>
      <c r="W72" s="793"/>
      <c r="X72" s="793"/>
      <c r="Y72" s="794"/>
    </row>
    <row r="73" spans="1:25" ht="23.1" customHeight="1">
      <c r="A73" s="975"/>
      <c r="C73" s="258"/>
      <c r="D73" s="540" t="s">
        <v>202</v>
      </c>
      <c r="E73" s="541" t="s">
        <v>264</v>
      </c>
      <c r="F73" s="195">
        <v>0</v>
      </c>
      <c r="G73" s="195">
        <v>0</v>
      </c>
      <c r="H73" s="195">
        <v>0</v>
      </c>
      <c r="I73" s="195">
        <v>0</v>
      </c>
      <c r="J73" s="259"/>
      <c r="L73" s="792"/>
      <c r="M73" s="793"/>
      <c r="N73" s="793"/>
      <c r="O73" s="793"/>
      <c r="P73" s="793"/>
      <c r="Q73" s="793"/>
      <c r="R73" s="793"/>
      <c r="S73" s="793"/>
      <c r="T73" s="793"/>
      <c r="U73" s="793"/>
      <c r="V73" s="793"/>
      <c r="W73" s="793"/>
      <c r="X73" s="793"/>
      <c r="Y73" s="794"/>
    </row>
    <row r="74" spans="1:25" ht="23.1" customHeight="1">
      <c r="A74" s="975"/>
      <c r="C74" s="258"/>
      <c r="D74" s="540" t="s">
        <v>204</v>
      </c>
      <c r="E74" s="541" t="s">
        <v>265</v>
      </c>
      <c r="F74" s="195">
        <v>-3990.54</v>
      </c>
      <c r="G74" s="195">
        <v>-3920.98</v>
      </c>
      <c r="H74" s="195">
        <v>-3920.98</v>
      </c>
      <c r="I74" s="195">
        <v>-3799.8330000000001</v>
      </c>
      <c r="J74" s="259"/>
      <c r="L74" s="792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4"/>
    </row>
    <row r="75" spans="1:25" ht="23.1" customHeight="1">
      <c r="A75" s="975"/>
      <c r="C75" s="258"/>
      <c r="D75" s="540" t="s">
        <v>210</v>
      </c>
      <c r="E75" s="541" t="s">
        <v>266</v>
      </c>
      <c r="F75" s="195">
        <v>0</v>
      </c>
      <c r="G75" s="195">
        <v>0</v>
      </c>
      <c r="H75" s="195">
        <v>0</v>
      </c>
      <c r="I75" s="195">
        <v>0</v>
      </c>
      <c r="J75" s="259"/>
      <c r="L75" s="792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4"/>
    </row>
    <row r="76" spans="1:25" ht="23.1" customHeight="1">
      <c r="A76" s="975"/>
      <c r="C76" s="258"/>
      <c r="D76" s="540" t="s">
        <v>212</v>
      </c>
      <c r="E76" s="541" t="s">
        <v>268</v>
      </c>
      <c r="F76" s="195">
        <v>0</v>
      </c>
      <c r="G76" s="195">
        <v>0</v>
      </c>
      <c r="H76" s="195">
        <v>0</v>
      </c>
      <c r="I76" s="195">
        <v>0</v>
      </c>
      <c r="J76" s="259"/>
      <c r="L76" s="792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4"/>
    </row>
    <row r="77" spans="1:25" ht="38.1" customHeight="1" thickBot="1">
      <c r="A77" s="975"/>
      <c r="C77" s="258"/>
      <c r="D77" s="614" t="s">
        <v>273</v>
      </c>
      <c r="E77" s="615" t="s">
        <v>274</v>
      </c>
      <c r="F77" s="616">
        <f>SUM(F72:F76)</f>
        <v>-3990.54</v>
      </c>
      <c r="G77" s="616">
        <f>SUM(G72:G76)</f>
        <v>-3920.98</v>
      </c>
      <c r="H77" s="616">
        <f>SUM(H72:H76)</f>
        <v>-3920.98</v>
      </c>
      <c r="I77" s="616">
        <f>SUM(I72:I76)</f>
        <v>-3799.8330000000001</v>
      </c>
      <c r="J77" s="259"/>
      <c r="L77" s="792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4"/>
    </row>
    <row r="78" spans="1:25" ht="9" customHeight="1">
      <c r="A78" s="975"/>
      <c r="C78" s="258"/>
      <c r="D78" s="608"/>
      <c r="E78" s="29"/>
      <c r="F78" s="609"/>
      <c r="G78" s="609"/>
      <c r="H78" s="609"/>
      <c r="I78" s="609"/>
      <c r="J78" s="259"/>
      <c r="L78" s="792"/>
      <c r="M78" s="793"/>
      <c r="N78" s="793"/>
      <c r="O78" s="793"/>
      <c r="P78" s="793"/>
      <c r="Q78" s="793"/>
      <c r="R78" s="793"/>
      <c r="S78" s="793"/>
      <c r="T78" s="793"/>
      <c r="U78" s="793"/>
      <c r="V78" s="793"/>
      <c r="W78" s="793"/>
      <c r="X78" s="793"/>
      <c r="Y78" s="794"/>
    </row>
    <row r="79" spans="1:25" ht="39.950000000000003" customHeight="1" thickBot="1">
      <c r="A79" s="975"/>
      <c r="C79" s="258"/>
      <c r="D79" s="618" t="s">
        <v>275</v>
      </c>
      <c r="E79" s="619" t="s">
        <v>276</v>
      </c>
      <c r="F79" s="620">
        <f>+F69+F77</f>
        <v>-3990.54</v>
      </c>
      <c r="G79" s="620">
        <f>+G69+G77</f>
        <v>-3920.98</v>
      </c>
      <c r="H79" s="620">
        <f>+H69+H77</f>
        <v>-3920.98</v>
      </c>
      <c r="I79" s="620">
        <f>+I69+I77</f>
        <v>-3799.8330000000001</v>
      </c>
      <c r="J79" s="259"/>
      <c r="L79" s="792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  <c r="Y79" s="794"/>
    </row>
    <row r="80" spans="1:25" ht="23.1" customHeight="1" thickBot="1">
      <c r="A80" s="975"/>
      <c r="C80" s="258"/>
      <c r="D80" s="618" t="s">
        <v>277</v>
      </c>
      <c r="E80" s="619" t="s">
        <v>278</v>
      </c>
      <c r="F80" s="630">
        <v>0</v>
      </c>
      <c r="G80" s="630">
        <v>0</v>
      </c>
      <c r="H80" s="630">
        <v>0</v>
      </c>
      <c r="I80" s="630">
        <v>0</v>
      </c>
      <c r="J80" s="259"/>
      <c r="L80" s="792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3"/>
      <c r="X80" s="793"/>
      <c r="Y80" s="794"/>
    </row>
    <row r="81" spans="1:25" ht="23.1" customHeight="1" thickBot="1">
      <c r="A81" s="975"/>
      <c r="C81" s="258"/>
      <c r="D81" s="618" t="s">
        <v>279</v>
      </c>
      <c r="E81" s="619" t="s">
        <v>280</v>
      </c>
      <c r="F81" s="630">
        <v>0</v>
      </c>
      <c r="G81" s="630">
        <v>0</v>
      </c>
      <c r="H81" s="630">
        <v>0</v>
      </c>
      <c r="I81" s="630">
        <v>0</v>
      </c>
      <c r="J81" s="259"/>
      <c r="L81" s="792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4"/>
    </row>
    <row r="82" spans="1:25" ht="23.1" customHeight="1" thickBot="1">
      <c r="A82" s="975"/>
      <c r="C82" s="258"/>
      <c r="D82" s="618" t="s">
        <v>281</v>
      </c>
      <c r="E82" s="619" t="s">
        <v>282</v>
      </c>
      <c r="F82" s="630">
        <v>0</v>
      </c>
      <c r="G82" s="630">
        <v>0</v>
      </c>
      <c r="H82" s="630">
        <v>0</v>
      </c>
      <c r="I82" s="630">
        <v>0</v>
      </c>
      <c r="J82" s="259"/>
      <c r="L82" s="792"/>
      <c r="M82" s="793"/>
      <c r="N82" s="793"/>
      <c r="O82" s="793"/>
      <c r="P82" s="793"/>
      <c r="Q82" s="793"/>
      <c r="R82" s="793"/>
      <c r="S82" s="793"/>
      <c r="T82" s="793"/>
      <c r="U82" s="793"/>
      <c r="V82" s="793"/>
      <c r="W82" s="793"/>
      <c r="X82" s="793"/>
      <c r="Y82" s="794"/>
    </row>
    <row r="83" spans="1:25" ht="23.1" customHeight="1" thickBot="1">
      <c r="A83" s="975"/>
      <c r="C83" s="258"/>
      <c r="D83" s="618" t="s">
        <v>283</v>
      </c>
      <c r="E83" s="619" t="s">
        <v>284</v>
      </c>
      <c r="F83" s="630">
        <v>0</v>
      </c>
      <c r="G83" s="630">
        <v>0</v>
      </c>
      <c r="H83" s="630">
        <v>0</v>
      </c>
      <c r="I83" s="630">
        <v>0</v>
      </c>
      <c r="J83" s="259"/>
      <c r="L83" s="792"/>
      <c r="M83" s="793"/>
      <c r="N83" s="793"/>
      <c r="O83" s="793"/>
      <c r="P83" s="793"/>
      <c r="Q83" s="793"/>
      <c r="R83" s="793"/>
      <c r="S83" s="793"/>
      <c r="T83" s="793"/>
      <c r="U83" s="793"/>
      <c r="V83" s="793"/>
      <c r="W83" s="793"/>
      <c r="X83" s="793"/>
      <c r="Y83" s="794"/>
    </row>
    <row r="84" spans="1:25" ht="9" customHeight="1">
      <c r="A84" s="975"/>
      <c r="C84" s="258"/>
      <c r="J84" s="259"/>
      <c r="L84" s="792"/>
      <c r="M84" s="793"/>
      <c r="N84" s="793"/>
      <c r="O84" s="793"/>
      <c r="P84" s="793"/>
      <c r="Q84" s="793"/>
      <c r="R84" s="793"/>
      <c r="S84" s="793"/>
      <c r="T84" s="793"/>
      <c r="U84" s="793"/>
      <c r="V84" s="793"/>
      <c r="W84" s="793"/>
      <c r="X84" s="793"/>
      <c r="Y84" s="794"/>
    </row>
    <row r="85" spans="1:25" s="563" customFormat="1" ht="39.950000000000003" customHeight="1" thickBot="1">
      <c r="A85" s="975"/>
      <c r="C85" s="10"/>
      <c r="D85" s="621" t="s">
        <v>285</v>
      </c>
      <c r="E85" s="622" t="s">
        <v>286</v>
      </c>
      <c r="F85" s="623">
        <f>+F60+F79+F80+F81+F82+F83</f>
        <v>11483.850000000053</v>
      </c>
      <c r="G85" s="623">
        <f>+G60+G79+G80+G81+G82+G83</f>
        <v>-3859.0800000000195</v>
      </c>
      <c r="H85" s="623">
        <f>+H60+H79+H80+H81+H82+H83</f>
        <v>15620.669999999991</v>
      </c>
      <c r="I85" s="623">
        <f>+I60+I79+I80+I81+I82+I83</f>
        <v>-3799.8330000001074</v>
      </c>
      <c r="J85" s="263"/>
      <c r="L85" s="798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800"/>
    </row>
    <row r="86" spans="1:25" ht="23.1" customHeight="1" thickBot="1">
      <c r="A86" s="975"/>
      <c r="C86" s="279"/>
      <c r="D86" s="1148"/>
      <c r="E86" s="1148"/>
      <c r="F86" s="1148"/>
      <c r="G86" s="1148"/>
      <c r="H86" s="1148"/>
      <c r="I86" s="280"/>
      <c r="J86" s="281"/>
      <c r="L86" s="801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3"/>
    </row>
    <row r="87" spans="1:25" ht="23.1" customHeight="1">
      <c r="A87" s="369"/>
      <c r="K87" s="24" t="s">
        <v>140</v>
      </c>
    </row>
    <row r="88" spans="1:25" ht="15">
      <c r="A88" s="369"/>
      <c r="D88" s="20" t="s">
        <v>39</v>
      </c>
      <c r="I88" s="23" t="s">
        <v>287</v>
      </c>
    </row>
    <row r="89" spans="1:25" ht="15">
      <c r="A89" s="369"/>
      <c r="D89" s="20" t="s">
        <v>41</v>
      </c>
    </row>
    <row r="90" spans="1:25" ht="15">
      <c r="A90" s="369"/>
      <c r="D90" s="20" t="s">
        <v>42</v>
      </c>
    </row>
    <row r="91" spans="1:25" ht="15">
      <c r="A91" s="369"/>
      <c r="D91" s="20" t="s">
        <v>43</v>
      </c>
    </row>
    <row r="92" spans="1:25" ht="15">
      <c r="A92" s="369"/>
      <c r="D92" s="20" t="s">
        <v>44</v>
      </c>
    </row>
    <row r="93" spans="1:25" ht="23.1" customHeight="1">
      <c r="A93" s="369"/>
    </row>
    <row r="94" spans="1:25" ht="23.1" customHeight="1">
      <c r="A94" s="369"/>
    </row>
    <row r="95" spans="1:25" ht="23.1" customHeight="1">
      <c r="A95" s="369"/>
    </row>
    <row r="96" spans="1:25" ht="23.1" customHeight="1">
      <c r="A96" s="369"/>
    </row>
  </sheetData>
  <sheetProtection algorithmName="SHA-512" hashValue="Eq/reJ2mbNbtb+yYtsAYQVI/h7I8X8+7WSFQi3rum5CVYOKFtH6gKLQed2gRgRQxoyVKUIToTsLm20Huzi5Q1g==" saltValue="EHmQt7FA5g/08XxDbYAwMQ==" spinCount="100000" sheet="1" objects="1" scenarios="1"/>
  <mergeCells count="3">
    <mergeCell ref="D86:H86"/>
    <mergeCell ref="I6:I7"/>
    <mergeCell ref="E9:I9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2:AD102"/>
  <sheetViews>
    <sheetView zoomScale="70" zoomScaleNormal="70" zoomScalePageLayoutView="125" workbookViewId="0">
      <selection activeCell="M43" sqref="M43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42.44140625" style="32" customWidth="1"/>
    <col min="6" max="7" width="15.6640625" style="33" customWidth="1"/>
    <col min="8" max="8" width="31" style="33" customWidth="1"/>
    <col min="9" max="9" width="15.5546875" style="33" customWidth="1"/>
    <col min="10" max="10" width="16.6640625" style="33" customWidth="1"/>
    <col min="11" max="11" width="30.5546875" style="33" customWidth="1"/>
    <col min="12" max="13" width="15.6640625" style="33" customWidth="1"/>
    <col min="14" max="14" width="27.109375" style="33" customWidth="1"/>
    <col min="15" max="15" width="3.33203125" style="32" customWidth="1"/>
    <col min="16" max="16384" width="10.6640625" style="32"/>
  </cols>
  <sheetData>
    <row r="2" spans="1:30" ht="23.1" customHeight="1">
      <c r="A2" s="369"/>
      <c r="E2" s="347" t="str">
        <f>_GENERAL!D2</f>
        <v>Área de Presidencia, Hacienda y Modernización</v>
      </c>
    </row>
    <row r="3" spans="1:30" ht="23.1" customHeight="1">
      <c r="A3" s="369"/>
      <c r="E3" s="347" t="str">
        <f>_GENERAL!D3</f>
        <v>Dirección Insular de Hacienda</v>
      </c>
    </row>
    <row r="4" spans="1:30" ht="23.1" customHeight="1" thickBot="1">
      <c r="A4" s="369"/>
      <c r="B4" s="32" t="s">
        <v>100</v>
      </c>
    </row>
    <row r="5" spans="1:30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Q5" s="757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9"/>
    </row>
    <row r="6" spans="1:30" ht="30" customHeight="1">
      <c r="A6" s="975"/>
      <c r="C6" s="38"/>
      <c r="D6" s="29" t="s">
        <v>2</v>
      </c>
      <c r="N6" s="1140">
        <f>ejercicio</f>
        <v>2022</v>
      </c>
      <c r="O6" s="39"/>
      <c r="Q6" s="174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7"/>
    </row>
    <row r="7" spans="1:30" ht="30" customHeight="1">
      <c r="A7" s="975"/>
      <c r="C7" s="38"/>
      <c r="D7" s="29" t="s">
        <v>3</v>
      </c>
      <c r="N7" s="1140"/>
      <c r="O7" s="936"/>
      <c r="Q7" s="178"/>
      <c r="R7" s="175" t="s">
        <v>101</v>
      </c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80"/>
    </row>
    <row r="8" spans="1:30" ht="30" customHeight="1">
      <c r="A8" s="975"/>
      <c r="C8" s="38"/>
      <c r="D8" s="40"/>
      <c r="O8" s="936"/>
      <c r="Q8" s="777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9"/>
    </row>
    <row r="9" spans="1:30" s="80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936"/>
      <c r="P9" s="970"/>
      <c r="Q9" s="780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2"/>
    </row>
    <row r="10" spans="1:30" ht="6.95" customHeight="1">
      <c r="A10" s="975"/>
      <c r="C10" s="38"/>
      <c r="O10" s="936"/>
      <c r="Q10" s="780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2"/>
    </row>
    <row r="11" spans="1:30" s="46" customFormat="1" ht="30" customHeight="1">
      <c r="A11" s="901"/>
      <c r="C11" s="42"/>
      <c r="D11" s="43" t="s">
        <v>288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936"/>
      <c r="Q11" s="780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2"/>
    </row>
    <row r="12" spans="1:30" s="46" customFormat="1" ht="30" customHeight="1">
      <c r="A12" s="901"/>
      <c r="C12" s="42"/>
      <c r="D12" s="1160"/>
      <c r="E12" s="1160"/>
      <c r="F12" s="31"/>
      <c r="G12" s="31"/>
      <c r="H12" s="31"/>
      <c r="I12" s="31"/>
      <c r="J12" s="31"/>
      <c r="K12" s="31"/>
      <c r="L12" s="31"/>
      <c r="M12" s="31"/>
      <c r="N12" s="31"/>
      <c r="O12" s="936"/>
      <c r="Q12" s="780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2"/>
    </row>
    <row r="13" spans="1:30" s="46" customFormat="1" ht="30" customHeight="1">
      <c r="A13" s="901"/>
      <c r="C13" s="42"/>
      <c r="E13" s="8"/>
      <c r="F13" s="31"/>
      <c r="G13" s="31"/>
      <c r="H13" s="31"/>
      <c r="I13" s="31"/>
      <c r="J13" s="31"/>
      <c r="K13" s="31"/>
      <c r="L13" s="31"/>
      <c r="M13" s="31"/>
      <c r="N13" s="31"/>
      <c r="O13" s="936"/>
      <c r="Q13" s="783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5"/>
    </row>
    <row r="14" spans="1:30" s="223" customFormat="1" ht="23.1" customHeight="1">
      <c r="A14" s="902"/>
      <c r="C14" s="47"/>
      <c r="D14" s="217"/>
      <c r="E14" s="218"/>
      <c r="F14" s="219"/>
      <c r="G14" s="220" t="s">
        <v>289</v>
      </c>
      <c r="H14" s="221">
        <f>ejercicio-2</f>
        <v>2020</v>
      </c>
      <c r="I14" s="219"/>
      <c r="J14" s="222" t="s">
        <v>290</v>
      </c>
      <c r="K14" s="221">
        <f>ejercicio-1</f>
        <v>2021</v>
      </c>
      <c r="L14" s="219"/>
      <c r="M14" s="220" t="s">
        <v>291</v>
      </c>
      <c r="N14" s="221">
        <f>ejercicio</f>
        <v>2022</v>
      </c>
      <c r="O14" s="936"/>
      <c r="Q14" s="780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2"/>
    </row>
    <row r="15" spans="1:30" s="228" customFormat="1" ht="23.1" customHeight="1">
      <c r="A15" s="903"/>
      <c r="C15" s="224"/>
      <c r="D15" s="225" t="s">
        <v>292</v>
      </c>
      <c r="E15" s="226"/>
      <c r="F15" s="227" t="s">
        <v>293</v>
      </c>
      <c r="G15" s="227" t="s">
        <v>294</v>
      </c>
      <c r="H15" s="227" t="s">
        <v>157</v>
      </c>
      <c r="I15" s="227" t="s">
        <v>293</v>
      </c>
      <c r="J15" s="227" t="s">
        <v>294</v>
      </c>
      <c r="K15" s="227" t="s">
        <v>157</v>
      </c>
      <c r="L15" s="227" t="s">
        <v>293</v>
      </c>
      <c r="M15" s="227" t="s">
        <v>294</v>
      </c>
      <c r="N15" s="227" t="s">
        <v>157</v>
      </c>
      <c r="O15" s="936"/>
      <c r="Q15" s="780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2"/>
    </row>
    <row r="16" spans="1:30" s="233" customFormat="1" ht="23.1" customHeight="1">
      <c r="A16" s="903"/>
      <c r="C16" s="152"/>
      <c r="D16" s="229" t="s">
        <v>295</v>
      </c>
      <c r="E16" s="230"/>
      <c r="F16" s="83">
        <f>SUM(F17:F18)</f>
        <v>13062.99</v>
      </c>
      <c r="G16" s="83">
        <f>SUM(G17:G18)</f>
        <v>935.42</v>
      </c>
      <c r="H16" s="231"/>
      <c r="I16" s="83">
        <f>SUM(I17:I18)</f>
        <v>1321.68</v>
      </c>
      <c r="J16" s="83">
        <f>SUM(J17:J18)</f>
        <v>77.92</v>
      </c>
      <c r="K16" s="231"/>
      <c r="L16" s="83">
        <f>SUM(L17:L18)</f>
        <v>0</v>
      </c>
      <c r="M16" s="83">
        <f>SUM(M17:M18)</f>
        <v>0</v>
      </c>
      <c r="N16" s="232"/>
      <c r="O16" s="936"/>
      <c r="Q16" s="780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2"/>
    </row>
    <row r="17" spans="1:30" s="233" customFormat="1" ht="20.100000000000001" customHeight="1">
      <c r="A17" s="903"/>
      <c r="C17" s="152"/>
      <c r="D17" s="296"/>
      <c r="E17" s="297" t="s">
        <v>296</v>
      </c>
      <c r="F17" s="197"/>
      <c r="G17" s="197"/>
      <c r="H17" s="298"/>
      <c r="I17" s="197">
        <v>208.5</v>
      </c>
      <c r="J17" s="197"/>
      <c r="K17" s="298"/>
      <c r="L17" s="365"/>
      <c r="M17" s="197"/>
      <c r="N17" s="299"/>
      <c r="O17" s="153"/>
      <c r="Q17" s="783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5"/>
    </row>
    <row r="18" spans="1:30" s="233" customFormat="1" ht="20.100000000000001" customHeight="1">
      <c r="A18" s="903"/>
      <c r="C18" s="152"/>
      <c r="D18" s="300"/>
      <c r="E18" s="301" t="s">
        <v>297</v>
      </c>
      <c r="F18" s="199">
        <v>13062.99</v>
      </c>
      <c r="G18" s="199">
        <v>935.42</v>
      </c>
      <c r="H18" s="302"/>
      <c r="I18" s="199">
        <v>1113.18</v>
      </c>
      <c r="J18" s="199">
        <v>77.92</v>
      </c>
      <c r="K18" s="302"/>
      <c r="L18" s="199"/>
      <c r="M18" s="199"/>
      <c r="N18" s="303"/>
      <c r="O18" s="153"/>
      <c r="Q18" s="783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5"/>
    </row>
    <row r="19" spans="1:30" s="233" customFormat="1" ht="23.1" customHeight="1">
      <c r="A19" s="903"/>
      <c r="C19" s="152"/>
      <c r="D19" s="229" t="s">
        <v>298</v>
      </c>
      <c r="E19" s="230"/>
      <c r="F19" s="83">
        <f>+F20+F25</f>
        <v>2141.08</v>
      </c>
      <c r="G19" s="83">
        <f>+G20+G25</f>
        <v>182.81</v>
      </c>
      <c r="H19" s="231"/>
      <c r="I19" s="83">
        <f>+I20+I25</f>
        <v>414.08</v>
      </c>
      <c r="J19" s="83">
        <f>+J20+J25</f>
        <v>0</v>
      </c>
      <c r="K19" s="231"/>
      <c r="L19" s="83">
        <f>+L20+L25</f>
        <v>0</v>
      </c>
      <c r="M19" s="83">
        <f>+M20+M25</f>
        <v>0</v>
      </c>
      <c r="N19" s="232"/>
      <c r="O19" s="936"/>
      <c r="Q19" s="780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2"/>
    </row>
    <row r="20" spans="1:30" s="233" customFormat="1" ht="20.100000000000001" customHeight="1">
      <c r="A20" s="903"/>
      <c r="C20" s="152"/>
      <c r="D20" s="296"/>
      <c r="E20" s="297" t="s">
        <v>299</v>
      </c>
      <c r="F20" s="69">
        <f>SUM(F21:F24)</f>
        <v>300.35000000000002</v>
      </c>
      <c r="G20" s="69">
        <f>SUM(G21:G24)</f>
        <v>53.96</v>
      </c>
      <c r="H20" s="304"/>
      <c r="I20" s="69">
        <f>SUM(I21:I24)</f>
        <v>414.08</v>
      </c>
      <c r="J20" s="69">
        <f>SUM(J21:J24)</f>
        <v>0</v>
      </c>
      <c r="K20" s="304"/>
      <c r="L20" s="69">
        <f>SUM(L21:L24)</f>
        <v>0</v>
      </c>
      <c r="M20" s="69">
        <f>SUM(M21:M24)</f>
        <v>0</v>
      </c>
      <c r="N20" s="305"/>
      <c r="O20" s="153"/>
      <c r="Q20" s="783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784"/>
      <c r="AD20" s="785"/>
    </row>
    <row r="21" spans="1:30" s="98" customFormat="1" ht="20.100000000000001" customHeight="1">
      <c r="A21" s="903"/>
      <c r="B21" s="632"/>
      <c r="C21" s="935"/>
      <c r="D21" s="633"/>
      <c r="E21" s="634" t="s">
        <v>300</v>
      </c>
      <c r="F21" s="711">
        <v>41.25</v>
      </c>
      <c r="G21" s="711">
        <v>0</v>
      </c>
      <c r="H21" s="989"/>
      <c r="I21" s="711"/>
      <c r="J21" s="711"/>
      <c r="K21" s="989"/>
      <c r="L21" s="711"/>
      <c r="M21" s="711"/>
      <c r="N21" s="687"/>
      <c r="O21" s="936"/>
      <c r="P21" s="632"/>
      <c r="Q21" s="780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2"/>
    </row>
    <row r="22" spans="1:30" s="98" customFormat="1" ht="20.100000000000001" customHeight="1">
      <c r="A22" s="903"/>
      <c r="B22" s="632"/>
      <c r="C22" s="935"/>
      <c r="D22" s="633"/>
      <c r="E22" s="634" t="s">
        <v>301</v>
      </c>
      <c r="F22" s="711">
        <v>83.06</v>
      </c>
      <c r="G22" s="711">
        <v>53.96</v>
      </c>
      <c r="H22" s="989"/>
      <c r="I22" s="711">
        <v>414.08</v>
      </c>
      <c r="J22" s="711">
        <v>0</v>
      </c>
      <c r="K22" s="989"/>
      <c r="L22" s="711"/>
      <c r="M22" s="711"/>
      <c r="N22" s="687"/>
      <c r="O22" s="936"/>
      <c r="P22" s="632"/>
      <c r="Q22" s="780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2"/>
    </row>
    <row r="23" spans="1:30" s="98" customFormat="1" ht="20.100000000000001" customHeight="1">
      <c r="A23" s="903"/>
      <c r="B23" s="632"/>
      <c r="C23" s="935"/>
      <c r="D23" s="633"/>
      <c r="E23" s="634" t="s">
        <v>302</v>
      </c>
      <c r="F23" s="711">
        <v>176.04</v>
      </c>
      <c r="G23" s="711">
        <v>0</v>
      </c>
      <c r="H23" s="989"/>
      <c r="I23" s="711"/>
      <c r="J23" s="711"/>
      <c r="K23" s="989"/>
      <c r="L23" s="711"/>
      <c r="M23" s="711"/>
      <c r="N23" s="687"/>
      <c r="O23" s="936"/>
      <c r="P23" s="632"/>
      <c r="Q23" s="780"/>
      <c r="R23" s="781"/>
      <c r="S23" s="781"/>
      <c r="T23" s="781"/>
      <c r="U23" s="781"/>
      <c r="V23" s="781"/>
      <c r="W23" s="781"/>
      <c r="X23" s="781"/>
      <c r="Y23" s="781"/>
      <c r="Z23" s="781"/>
      <c r="AA23" s="781"/>
      <c r="AB23" s="781"/>
      <c r="AC23" s="781"/>
      <c r="AD23" s="782"/>
    </row>
    <row r="24" spans="1:30" s="98" customFormat="1" ht="20.100000000000001" customHeight="1">
      <c r="A24" s="903"/>
      <c r="B24" s="632"/>
      <c r="C24" s="935"/>
      <c r="D24" s="633"/>
      <c r="E24" s="634"/>
      <c r="F24" s="711"/>
      <c r="G24" s="711"/>
      <c r="H24" s="989"/>
      <c r="I24" s="711"/>
      <c r="J24" s="711"/>
      <c r="K24" s="989"/>
      <c r="L24" s="711"/>
      <c r="M24" s="711"/>
      <c r="N24" s="687"/>
      <c r="O24" s="936"/>
      <c r="P24" s="632"/>
      <c r="Q24" s="780"/>
      <c r="R24" s="781"/>
      <c r="S24" s="781"/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2"/>
    </row>
    <row r="25" spans="1:30" s="233" customFormat="1" ht="20.100000000000001" customHeight="1">
      <c r="A25" s="903"/>
      <c r="C25" s="152"/>
      <c r="D25" s="306"/>
      <c r="E25" s="307" t="s">
        <v>303</v>
      </c>
      <c r="F25" s="71">
        <f>SUM(F26:F29)</f>
        <v>1840.73</v>
      </c>
      <c r="G25" s="71">
        <f>SUM(G26:G29)</f>
        <v>128.85</v>
      </c>
      <c r="H25" s="308"/>
      <c r="I25" s="71">
        <f>SUM(I26:I29)</f>
        <v>0</v>
      </c>
      <c r="J25" s="71">
        <f>SUM(J26:J29)</f>
        <v>0</v>
      </c>
      <c r="K25" s="308"/>
      <c r="L25" s="71">
        <f>SUM(L26:L29)</f>
        <v>0</v>
      </c>
      <c r="M25" s="71">
        <f>SUM(M26:M29)</f>
        <v>0</v>
      </c>
      <c r="N25" s="309"/>
      <c r="O25" s="153"/>
      <c r="Q25" s="783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4"/>
      <c r="AD25" s="785"/>
    </row>
    <row r="26" spans="1:30" s="98" customFormat="1" ht="20.100000000000001" customHeight="1">
      <c r="A26" s="903"/>
      <c r="B26" s="632"/>
      <c r="C26" s="935"/>
      <c r="D26" s="633"/>
      <c r="E26" s="634" t="s">
        <v>301</v>
      </c>
      <c r="F26" s="711">
        <v>770.84</v>
      </c>
      <c r="G26" s="711">
        <v>53.96</v>
      </c>
      <c r="H26" s="989"/>
      <c r="I26" s="711"/>
      <c r="J26" s="711"/>
      <c r="K26" s="989"/>
      <c r="L26" s="711"/>
      <c r="M26" s="711"/>
      <c r="N26" s="687"/>
      <c r="O26" s="936"/>
      <c r="P26" s="632"/>
      <c r="Q26" s="780"/>
      <c r="R26" s="781"/>
      <c r="S26" s="781"/>
      <c r="T26" s="781"/>
      <c r="U26" s="781"/>
      <c r="V26" s="781"/>
      <c r="W26" s="781"/>
      <c r="X26" s="781"/>
      <c r="Y26" s="781"/>
      <c r="Z26" s="781"/>
      <c r="AA26" s="781"/>
      <c r="AB26" s="781"/>
      <c r="AC26" s="781"/>
      <c r="AD26" s="782"/>
    </row>
    <row r="27" spans="1:30" s="98" customFormat="1" ht="20.100000000000001" customHeight="1">
      <c r="A27" s="903"/>
      <c r="B27" s="632"/>
      <c r="C27" s="935"/>
      <c r="D27" s="633"/>
      <c r="E27" s="634" t="s">
        <v>304</v>
      </c>
      <c r="F27" s="711">
        <v>1069.8900000000001</v>
      </c>
      <c r="G27" s="711">
        <v>74.89</v>
      </c>
      <c r="H27" s="989"/>
      <c r="I27" s="711"/>
      <c r="J27" s="711"/>
      <c r="K27" s="989"/>
      <c r="L27" s="711"/>
      <c r="M27" s="711"/>
      <c r="N27" s="687"/>
      <c r="O27" s="936"/>
      <c r="P27" s="632"/>
      <c r="Q27" s="780"/>
      <c r="R27" s="781"/>
      <c r="S27" s="781"/>
      <c r="T27" s="781"/>
      <c r="U27" s="781"/>
      <c r="V27" s="781"/>
      <c r="W27" s="781"/>
      <c r="X27" s="781"/>
      <c r="Y27" s="781"/>
      <c r="Z27" s="781"/>
      <c r="AA27" s="781"/>
      <c r="AB27" s="781"/>
      <c r="AC27" s="781"/>
      <c r="AD27" s="782"/>
    </row>
    <row r="28" spans="1:30" s="98" customFormat="1" ht="20.100000000000001" customHeight="1">
      <c r="A28" s="903"/>
      <c r="B28" s="632"/>
      <c r="C28" s="935"/>
      <c r="D28" s="633"/>
      <c r="E28" s="634"/>
      <c r="F28" s="711"/>
      <c r="G28" s="711"/>
      <c r="H28" s="989"/>
      <c r="I28" s="711"/>
      <c r="J28" s="711"/>
      <c r="K28" s="989"/>
      <c r="L28" s="711"/>
      <c r="M28" s="711"/>
      <c r="N28" s="687"/>
      <c r="O28" s="936"/>
      <c r="P28" s="632"/>
      <c r="Q28" s="780"/>
      <c r="R28" s="781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2"/>
    </row>
    <row r="29" spans="1:30" s="98" customFormat="1" ht="20.100000000000001" customHeight="1">
      <c r="A29" s="903"/>
      <c r="B29" s="632"/>
      <c r="C29" s="935"/>
      <c r="D29" s="636"/>
      <c r="E29" s="637"/>
      <c r="F29" s="721"/>
      <c r="G29" s="721"/>
      <c r="H29" s="990"/>
      <c r="I29" s="721"/>
      <c r="J29" s="721"/>
      <c r="K29" s="990"/>
      <c r="L29" s="721"/>
      <c r="M29" s="721"/>
      <c r="N29" s="690"/>
      <c r="O29" s="936"/>
      <c r="P29" s="632"/>
      <c r="Q29" s="780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2"/>
    </row>
    <row r="30" spans="1:30" s="233" customFormat="1" ht="23.1" customHeight="1">
      <c r="A30" s="903"/>
      <c r="C30" s="152"/>
      <c r="D30" s="229" t="s">
        <v>305</v>
      </c>
      <c r="E30" s="230"/>
      <c r="F30" s="83">
        <f>+F31+F40</f>
        <v>270824.34999999998</v>
      </c>
      <c r="G30" s="83">
        <f>+G31+G40</f>
        <v>3041.44</v>
      </c>
      <c r="H30" s="231"/>
      <c r="I30" s="83">
        <f>+I31+I40</f>
        <v>310612.55</v>
      </c>
      <c r="J30" s="83">
        <f>+J31+J40</f>
        <v>5082.0616000000009</v>
      </c>
      <c r="K30" s="231"/>
      <c r="L30" s="83">
        <f>+L31+L40</f>
        <v>320000</v>
      </c>
      <c r="M30" s="83">
        <f>+M31+M40</f>
        <v>5040</v>
      </c>
      <c r="N30" s="232"/>
      <c r="O30" s="936"/>
      <c r="Q30" s="783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5"/>
    </row>
    <row r="31" spans="1:30" s="241" customFormat="1" ht="18.95" customHeight="1">
      <c r="A31" s="903"/>
      <c r="C31" s="234"/>
      <c r="D31" s="235" t="s">
        <v>306</v>
      </c>
      <c r="E31" s="236"/>
      <c r="F31" s="237">
        <f>F32+F36</f>
        <v>1515.4699999999998</v>
      </c>
      <c r="G31" s="237">
        <f>G32+G36</f>
        <v>98.13</v>
      </c>
      <c r="H31" s="238"/>
      <c r="I31" s="237">
        <f>I32+I36</f>
        <v>74.069999999999993</v>
      </c>
      <c r="J31" s="237">
        <f>J32+J36</f>
        <v>5.18</v>
      </c>
      <c r="K31" s="238"/>
      <c r="L31" s="237">
        <f>L32+L36</f>
        <v>0</v>
      </c>
      <c r="M31" s="237">
        <f>M32+M36</f>
        <v>0</v>
      </c>
      <c r="N31" s="239"/>
      <c r="O31" s="240"/>
      <c r="Q31" s="804"/>
      <c r="R31" s="805"/>
      <c r="S31" s="805"/>
      <c r="T31" s="805"/>
      <c r="U31" s="805"/>
      <c r="V31" s="805"/>
      <c r="W31" s="805"/>
      <c r="X31" s="805"/>
      <c r="Y31" s="805"/>
      <c r="Z31" s="805"/>
      <c r="AA31" s="805"/>
      <c r="AB31" s="805"/>
      <c r="AC31" s="805"/>
      <c r="AD31" s="806"/>
    </row>
    <row r="32" spans="1:30" s="233" customFormat="1" ht="18.95" customHeight="1">
      <c r="A32" s="903"/>
      <c r="C32" s="152"/>
      <c r="D32" s="296"/>
      <c r="E32" s="297" t="s">
        <v>307</v>
      </c>
      <c r="F32" s="69">
        <f>SUM(F33:F35)</f>
        <v>113.6</v>
      </c>
      <c r="G32" s="69">
        <f>SUM(G33:G35)</f>
        <v>0</v>
      </c>
      <c r="H32" s="304"/>
      <c r="I32" s="69">
        <f>SUM(I33:I35)</f>
        <v>0</v>
      </c>
      <c r="J32" s="69">
        <f>SUM(J33:J35)</f>
        <v>0</v>
      </c>
      <c r="K32" s="304"/>
      <c r="L32" s="69">
        <f>SUM(L33:L35)</f>
        <v>0</v>
      </c>
      <c r="M32" s="69">
        <f>SUM(M33:M35)</f>
        <v>0</v>
      </c>
      <c r="N32" s="305"/>
      <c r="O32" s="153"/>
      <c r="Q32" s="783"/>
      <c r="R32" s="784"/>
      <c r="S32" s="784"/>
      <c r="T32" s="784"/>
      <c r="U32" s="784"/>
      <c r="V32" s="784"/>
      <c r="W32" s="784"/>
      <c r="X32" s="784"/>
      <c r="Y32" s="784"/>
      <c r="Z32" s="784"/>
      <c r="AA32" s="784"/>
      <c r="AB32" s="784"/>
      <c r="AC32" s="784"/>
      <c r="AD32" s="785"/>
    </row>
    <row r="33" spans="1:30" s="98" customFormat="1" ht="18.95" customHeight="1">
      <c r="A33" s="903"/>
      <c r="B33" s="632"/>
      <c r="C33" s="935"/>
      <c r="D33" s="376"/>
      <c r="E33" s="956" t="s">
        <v>308</v>
      </c>
      <c r="F33" s="991">
        <v>113.6</v>
      </c>
      <c r="G33" s="991"/>
      <c r="H33" s="957"/>
      <c r="I33" s="991"/>
      <c r="J33" s="991"/>
      <c r="K33" s="957"/>
      <c r="L33" s="991"/>
      <c r="M33" s="991"/>
      <c r="N33" s="992"/>
      <c r="O33" s="936"/>
      <c r="P33" s="632"/>
      <c r="Q33" s="780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2"/>
    </row>
    <row r="34" spans="1:30" s="98" customFormat="1" ht="18.95" customHeight="1">
      <c r="A34" s="903"/>
      <c r="B34" s="632"/>
      <c r="C34" s="935"/>
      <c r="D34" s="376"/>
      <c r="E34" s="956"/>
      <c r="F34" s="991"/>
      <c r="G34" s="991"/>
      <c r="H34" s="957"/>
      <c r="I34" s="991"/>
      <c r="J34" s="991"/>
      <c r="K34" s="957"/>
      <c r="L34" s="991"/>
      <c r="M34" s="991"/>
      <c r="N34" s="992"/>
      <c r="O34" s="936"/>
      <c r="P34" s="632"/>
      <c r="Q34" s="780"/>
      <c r="R34" s="781"/>
      <c r="S34" s="781"/>
      <c r="T34" s="781"/>
      <c r="U34" s="781"/>
      <c r="V34" s="781"/>
      <c r="W34" s="781"/>
      <c r="X34" s="781"/>
      <c r="Y34" s="781"/>
      <c r="Z34" s="781"/>
      <c r="AA34" s="781"/>
      <c r="AB34" s="781"/>
      <c r="AC34" s="781"/>
      <c r="AD34" s="782"/>
    </row>
    <row r="35" spans="1:30" s="98" customFormat="1" ht="18.95" customHeight="1">
      <c r="A35" s="903"/>
      <c r="B35" s="632"/>
      <c r="C35" s="935"/>
      <c r="D35" s="376"/>
      <c r="E35" s="956"/>
      <c r="F35" s="991"/>
      <c r="G35" s="991"/>
      <c r="H35" s="957"/>
      <c r="I35" s="991"/>
      <c r="J35" s="991"/>
      <c r="K35" s="957"/>
      <c r="L35" s="991"/>
      <c r="M35" s="991"/>
      <c r="N35" s="992"/>
      <c r="O35" s="936"/>
      <c r="P35" s="632"/>
      <c r="Q35" s="780"/>
      <c r="R35" s="781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781"/>
      <c r="AD35" s="782"/>
    </row>
    <row r="36" spans="1:30" s="233" customFormat="1" ht="18.95" customHeight="1">
      <c r="A36" s="903"/>
      <c r="C36" s="152"/>
      <c r="D36" s="296"/>
      <c r="E36" s="297" t="s">
        <v>309</v>
      </c>
      <c r="F36" s="69">
        <f>SUM(F37:F39)</f>
        <v>1401.87</v>
      </c>
      <c r="G36" s="69">
        <f>SUM(G37:G39)</f>
        <v>98.13</v>
      </c>
      <c r="H36" s="304"/>
      <c r="I36" s="69">
        <f>SUM(I37:I39)</f>
        <v>74.069999999999993</v>
      </c>
      <c r="J36" s="69">
        <f>SUM(J37:J39)</f>
        <v>5.18</v>
      </c>
      <c r="K36" s="304"/>
      <c r="L36" s="69">
        <f>SUM(L37:L39)</f>
        <v>0</v>
      </c>
      <c r="M36" s="69">
        <f>SUM(M37:M39)</f>
        <v>0</v>
      </c>
      <c r="N36" s="305"/>
      <c r="O36" s="153"/>
      <c r="Q36" s="807"/>
      <c r="R36" s="808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8"/>
      <c r="AD36" s="809"/>
    </row>
    <row r="37" spans="1:30" s="98" customFormat="1" ht="18.95" customHeight="1">
      <c r="A37" s="903"/>
      <c r="B37" s="632"/>
      <c r="C37" s="935"/>
      <c r="D37" s="376"/>
      <c r="E37" s="956" t="s">
        <v>310</v>
      </c>
      <c r="F37" s="991">
        <v>1401.87</v>
      </c>
      <c r="G37" s="991">
        <v>98.13</v>
      </c>
      <c r="H37" s="957" t="s">
        <v>311</v>
      </c>
      <c r="I37" s="991">
        <v>74.069999999999993</v>
      </c>
      <c r="J37" s="991">
        <v>5.18</v>
      </c>
      <c r="K37" s="957"/>
      <c r="L37" s="991"/>
      <c r="M37" s="991"/>
      <c r="N37" s="992"/>
      <c r="O37" s="936"/>
      <c r="P37" s="632"/>
      <c r="Q37" s="786"/>
      <c r="R37" s="787"/>
      <c r="S37" s="787"/>
      <c r="T37" s="787"/>
      <c r="U37" s="787"/>
      <c r="V37" s="787"/>
      <c r="W37" s="787"/>
      <c r="X37" s="787"/>
      <c r="Y37" s="787"/>
      <c r="Z37" s="787"/>
      <c r="AA37" s="787"/>
      <c r="AB37" s="787"/>
      <c r="AC37" s="787"/>
      <c r="AD37" s="788"/>
    </row>
    <row r="38" spans="1:30" s="98" customFormat="1" ht="18.95" customHeight="1">
      <c r="A38" s="903"/>
      <c r="B38" s="632"/>
      <c r="C38" s="935"/>
      <c r="D38" s="376"/>
      <c r="E38" s="956"/>
      <c r="F38" s="991"/>
      <c r="G38" s="991"/>
      <c r="H38" s="957"/>
      <c r="I38" s="991"/>
      <c r="J38" s="991"/>
      <c r="K38" s="957"/>
      <c r="L38" s="991"/>
      <c r="M38" s="991"/>
      <c r="N38" s="992"/>
      <c r="O38" s="936"/>
      <c r="P38" s="632"/>
      <c r="Q38" s="786"/>
      <c r="R38" s="787"/>
      <c r="S38" s="787"/>
      <c r="T38" s="787"/>
      <c r="U38" s="787"/>
      <c r="V38" s="787"/>
      <c r="W38" s="787"/>
      <c r="X38" s="787"/>
      <c r="Y38" s="787"/>
      <c r="Z38" s="787"/>
      <c r="AA38" s="787"/>
      <c r="AB38" s="787"/>
      <c r="AC38" s="787"/>
      <c r="AD38" s="788"/>
    </row>
    <row r="39" spans="1:30" s="98" customFormat="1" ht="18.95" customHeight="1">
      <c r="A39" s="903"/>
      <c r="B39" s="632"/>
      <c r="C39" s="935"/>
      <c r="D39" s="376"/>
      <c r="E39" s="956"/>
      <c r="F39" s="991"/>
      <c r="G39" s="991"/>
      <c r="H39" s="957"/>
      <c r="I39" s="991"/>
      <c r="J39" s="991"/>
      <c r="K39" s="957"/>
      <c r="L39" s="991"/>
      <c r="M39" s="991"/>
      <c r="N39" s="992"/>
      <c r="O39" s="936"/>
      <c r="P39" s="632"/>
      <c r="Q39" s="786"/>
      <c r="R39" s="787"/>
      <c r="S39" s="787"/>
      <c r="T39" s="787"/>
      <c r="U39" s="787"/>
      <c r="V39" s="787"/>
      <c r="W39" s="787"/>
      <c r="X39" s="787"/>
      <c r="Y39" s="787"/>
      <c r="Z39" s="787"/>
      <c r="AA39" s="787"/>
      <c r="AB39" s="787"/>
      <c r="AC39" s="787"/>
      <c r="AD39" s="788"/>
    </row>
    <row r="40" spans="1:30" s="241" customFormat="1" ht="18.95" customHeight="1">
      <c r="A40" s="903"/>
      <c r="C40" s="234"/>
      <c r="D40" s="235" t="s">
        <v>312</v>
      </c>
      <c r="E40" s="236"/>
      <c r="F40" s="237">
        <f>+F41+F42</f>
        <v>269308.88</v>
      </c>
      <c r="G40" s="237">
        <f>+G41+G42</f>
        <v>2943.31</v>
      </c>
      <c r="H40" s="238"/>
      <c r="I40" s="237">
        <f>+I41+I42</f>
        <v>310538.48</v>
      </c>
      <c r="J40" s="237">
        <f>+J41+J42</f>
        <v>5076.8816000000006</v>
      </c>
      <c r="K40" s="238"/>
      <c r="L40" s="237">
        <f>+L41+L42</f>
        <v>320000</v>
      </c>
      <c r="M40" s="237">
        <f>+M41+M42</f>
        <v>5040</v>
      </c>
      <c r="N40" s="239"/>
      <c r="O40" s="240"/>
      <c r="Q40" s="810"/>
      <c r="R40" s="811"/>
      <c r="S40" s="811"/>
      <c r="T40" s="811"/>
      <c r="U40" s="811"/>
      <c r="V40" s="811"/>
      <c r="W40" s="811"/>
      <c r="X40" s="811"/>
      <c r="Y40" s="811"/>
      <c r="Z40" s="811"/>
      <c r="AA40" s="811"/>
      <c r="AB40" s="811"/>
      <c r="AC40" s="811"/>
      <c r="AD40" s="812"/>
    </row>
    <row r="41" spans="1:30" s="233" customFormat="1" ht="18.95" customHeight="1">
      <c r="A41" s="903"/>
      <c r="C41" s="152"/>
      <c r="D41" s="296"/>
      <c r="E41" s="297" t="s">
        <v>313</v>
      </c>
      <c r="F41" s="197">
        <v>227261.56</v>
      </c>
      <c r="G41" s="197">
        <v>0</v>
      </c>
      <c r="H41" s="298"/>
      <c r="I41" s="197">
        <v>238011.6</v>
      </c>
      <c r="J41" s="197">
        <v>0</v>
      </c>
      <c r="K41" s="298"/>
      <c r="L41" s="197">
        <v>248000</v>
      </c>
      <c r="M41" s="197"/>
      <c r="N41" s="299"/>
      <c r="O41" s="153"/>
      <c r="Q41" s="807"/>
      <c r="R41" s="808"/>
      <c r="S41" s="808"/>
      <c r="T41" s="808"/>
      <c r="U41" s="808"/>
      <c r="V41" s="808"/>
      <c r="W41" s="808"/>
      <c r="X41" s="808"/>
      <c r="Y41" s="808"/>
      <c r="Z41" s="808"/>
      <c r="AA41" s="808"/>
      <c r="AB41" s="808"/>
      <c r="AC41" s="808"/>
      <c r="AD41" s="809"/>
    </row>
    <row r="42" spans="1:30" s="233" customFormat="1" ht="18.95" customHeight="1">
      <c r="A42" s="903"/>
      <c r="C42" s="152"/>
      <c r="D42" s="310"/>
      <c r="E42" s="311" t="s">
        <v>314</v>
      </c>
      <c r="F42" s="312">
        <v>42047.32</v>
      </c>
      <c r="G42" s="312">
        <v>2943.31</v>
      </c>
      <c r="H42" s="313"/>
      <c r="I42" s="312">
        <v>72526.880000000005</v>
      </c>
      <c r="J42" s="312">
        <v>5076.8816000000006</v>
      </c>
      <c r="K42" s="313"/>
      <c r="L42" s="312">
        <v>72000</v>
      </c>
      <c r="M42" s="312">
        <v>5040</v>
      </c>
      <c r="N42" s="314"/>
      <c r="O42" s="153"/>
      <c r="Q42" s="807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8"/>
      <c r="AC42" s="808"/>
      <c r="AD42" s="809"/>
    </row>
    <row r="43" spans="1:30" s="233" customFormat="1" ht="23.1" customHeight="1" thickBot="1">
      <c r="A43" s="903"/>
      <c r="C43" s="152"/>
      <c r="D43" s="242" t="s">
        <v>315</v>
      </c>
      <c r="E43" s="243"/>
      <c r="F43" s="70">
        <f>F16+F19+F30</f>
        <v>286028.42</v>
      </c>
      <c r="G43" s="70">
        <f>G16+G19+G30</f>
        <v>4159.67</v>
      </c>
      <c r="H43" s="244"/>
      <c r="I43" s="70">
        <f>I16+I19+I30</f>
        <v>312348.31</v>
      </c>
      <c r="J43" s="70">
        <f>J16+J19+J30</f>
        <v>5159.981600000001</v>
      </c>
      <c r="K43" s="244"/>
      <c r="L43" s="70">
        <f>L16+L19+L30</f>
        <v>320000</v>
      </c>
      <c r="M43" s="70">
        <f>M16+M19+M30</f>
        <v>5040</v>
      </c>
      <c r="N43" s="245"/>
      <c r="O43" s="936"/>
      <c r="Q43" s="786"/>
      <c r="R43" s="787"/>
      <c r="S43" s="787"/>
      <c r="T43" s="787"/>
      <c r="U43" s="787"/>
      <c r="V43" s="787"/>
      <c r="W43" s="787"/>
      <c r="X43" s="787"/>
      <c r="Y43" s="787"/>
      <c r="Z43" s="787"/>
      <c r="AA43" s="787"/>
      <c r="AB43" s="787"/>
      <c r="AC43" s="787"/>
      <c r="AD43" s="788"/>
    </row>
    <row r="44" spans="1:30" s="98" customFormat="1" ht="23.1" customHeight="1">
      <c r="A44" s="903"/>
      <c r="B44" s="632"/>
      <c r="C44" s="935"/>
      <c r="D44" s="347"/>
      <c r="E44" s="347"/>
      <c r="F44" s="392"/>
      <c r="G44" s="392"/>
      <c r="H44" s="392"/>
      <c r="I44" s="392"/>
      <c r="J44" s="392"/>
      <c r="K44" s="392"/>
      <c r="L44" s="392"/>
      <c r="M44" s="392"/>
      <c r="N44" s="392"/>
      <c r="O44" s="936"/>
      <c r="P44" s="632"/>
      <c r="Q44" s="786"/>
      <c r="R44" s="787"/>
      <c r="S44" s="787"/>
      <c r="T44" s="787"/>
      <c r="U44" s="787"/>
      <c r="V44" s="787"/>
      <c r="W44" s="787"/>
      <c r="X44" s="787"/>
      <c r="Y44" s="787"/>
      <c r="Z44" s="787"/>
      <c r="AA44" s="787"/>
      <c r="AB44" s="787"/>
      <c r="AC44" s="787"/>
      <c r="AD44" s="788"/>
    </row>
    <row r="45" spans="1:30" s="223" customFormat="1" ht="23.1" customHeight="1">
      <c r="A45" s="903"/>
      <c r="C45" s="47"/>
      <c r="D45" s="217"/>
      <c r="E45" s="218"/>
      <c r="F45" s="246" t="s">
        <v>289</v>
      </c>
      <c r="G45" s="246" t="s">
        <v>290</v>
      </c>
      <c r="H45" s="246" t="s">
        <v>291</v>
      </c>
      <c r="I45" s="1154" t="s">
        <v>157</v>
      </c>
      <c r="J45" s="1155"/>
      <c r="K45" s="1155"/>
      <c r="L45" s="1155"/>
      <c r="M45" s="1155"/>
      <c r="N45" s="1156"/>
      <c r="O45" s="936"/>
      <c r="Q45" s="786"/>
      <c r="R45" s="787"/>
      <c r="S45" s="787"/>
      <c r="T45" s="787"/>
      <c r="U45" s="787"/>
      <c r="V45" s="787"/>
      <c r="W45" s="787"/>
      <c r="X45" s="787"/>
      <c r="Y45" s="787"/>
      <c r="Z45" s="787"/>
      <c r="AA45" s="787"/>
      <c r="AB45" s="787"/>
      <c r="AC45" s="787"/>
      <c r="AD45" s="788"/>
    </row>
    <row r="46" spans="1:30" s="228" customFormat="1" ht="23.1" customHeight="1">
      <c r="A46" s="903"/>
      <c r="C46" s="224"/>
      <c r="D46" s="225" t="s">
        <v>316</v>
      </c>
      <c r="E46" s="226"/>
      <c r="F46" s="247">
        <f>ejercicio-2</f>
        <v>2020</v>
      </c>
      <c r="G46" s="247">
        <f>ejercicio-1</f>
        <v>2021</v>
      </c>
      <c r="H46" s="247">
        <f>ejercicio</f>
        <v>2022</v>
      </c>
      <c r="I46" s="1157"/>
      <c r="J46" s="1158"/>
      <c r="K46" s="1158"/>
      <c r="L46" s="1158"/>
      <c r="M46" s="1158"/>
      <c r="N46" s="1159"/>
      <c r="O46" s="936"/>
      <c r="Q46" s="786"/>
      <c r="R46" s="787"/>
      <c r="S46" s="787"/>
      <c r="T46" s="787"/>
      <c r="U46" s="787"/>
      <c r="V46" s="787"/>
      <c r="W46" s="787"/>
      <c r="X46" s="787"/>
      <c r="Y46" s="787"/>
      <c r="Z46" s="787"/>
      <c r="AA46" s="787"/>
      <c r="AB46" s="787"/>
      <c r="AC46" s="787"/>
      <c r="AD46" s="788"/>
    </row>
    <row r="47" spans="1:30" s="98" customFormat="1" ht="23.1" customHeight="1" thickBot="1">
      <c r="A47" s="903"/>
      <c r="B47" s="632"/>
      <c r="C47" s="935"/>
      <c r="D47" s="242" t="s">
        <v>317</v>
      </c>
      <c r="E47" s="243"/>
      <c r="F47" s="70">
        <f>F48+F52</f>
        <v>13987.98</v>
      </c>
      <c r="G47" s="70">
        <f>G48+G52</f>
        <v>0</v>
      </c>
      <c r="H47" s="70">
        <f t="shared" ref="H47" si="0">H48+H52</f>
        <v>0</v>
      </c>
      <c r="I47" s="248"/>
      <c r="J47" s="249"/>
      <c r="K47" s="249"/>
      <c r="L47" s="249"/>
      <c r="M47" s="249"/>
      <c r="N47" s="64"/>
      <c r="O47" s="936"/>
      <c r="P47" s="632"/>
      <c r="Q47" s="786"/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8"/>
    </row>
    <row r="48" spans="1:30" s="98" customFormat="1" ht="20.100000000000001" customHeight="1">
      <c r="A48" s="903"/>
      <c r="B48" s="632"/>
      <c r="C48" s="935"/>
      <c r="D48" s="646" t="s">
        <v>318</v>
      </c>
      <c r="E48" s="647"/>
      <c r="F48" s="648">
        <f>SUM(F49:F51)</f>
        <v>13987.98</v>
      </c>
      <c r="G48" s="648">
        <f t="shared" ref="G48:H48" si="1">SUM(G49:G51)</f>
        <v>0</v>
      </c>
      <c r="H48" s="648">
        <f t="shared" si="1"/>
        <v>0</v>
      </c>
      <c r="I48" s="993"/>
      <c r="J48" s="994"/>
      <c r="K48" s="994"/>
      <c r="L48" s="994"/>
      <c r="M48" s="994"/>
      <c r="N48" s="995"/>
      <c r="O48" s="936"/>
      <c r="P48" s="632"/>
      <c r="Q48" s="786"/>
      <c r="R48" s="787"/>
      <c r="S48" s="787"/>
      <c r="T48" s="787"/>
      <c r="U48" s="787"/>
      <c r="V48" s="787"/>
      <c r="W48" s="787"/>
      <c r="X48" s="787"/>
      <c r="Y48" s="787"/>
      <c r="Z48" s="787"/>
      <c r="AA48" s="787"/>
      <c r="AB48" s="787"/>
      <c r="AC48" s="787"/>
      <c r="AD48" s="788"/>
    </row>
    <row r="49" spans="1:30" s="98" customFormat="1" ht="20.100000000000001" customHeight="1">
      <c r="A49" s="903"/>
      <c r="B49" s="632"/>
      <c r="C49" s="935"/>
      <c r="D49" s="633" t="s">
        <v>319</v>
      </c>
      <c r="E49" s="634"/>
      <c r="F49" s="635">
        <v>13987.98</v>
      </c>
      <c r="G49" s="635"/>
      <c r="H49" s="635"/>
      <c r="I49" s="996"/>
      <c r="J49" s="997"/>
      <c r="K49" s="997"/>
      <c r="L49" s="997"/>
      <c r="M49" s="997"/>
      <c r="N49" s="952"/>
      <c r="O49" s="936"/>
      <c r="P49" s="632"/>
      <c r="Q49" s="786"/>
      <c r="R49" s="787"/>
      <c r="S49" s="787"/>
      <c r="T49" s="787"/>
      <c r="U49" s="787"/>
      <c r="V49" s="787"/>
      <c r="W49" s="787"/>
      <c r="X49" s="787"/>
      <c r="Y49" s="787"/>
      <c r="Z49" s="787"/>
      <c r="AA49" s="787"/>
      <c r="AB49" s="787"/>
      <c r="AC49" s="787"/>
      <c r="AD49" s="788"/>
    </row>
    <row r="50" spans="1:30" s="98" customFormat="1" ht="20.100000000000001" customHeight="1">
      <c r="A50" s="903"/>
      <c r="B50" s="632"/>
      <c r="C50" s="935"/>
      <c r="D50" s="633"/>
      <c r="E50" s="634"/>
      <c r="F50" s="635"/>
      <c r="G50" s="635"/>
      <c r="H50" s="635"/>
      <c r="I50" s="996"/>
      <c r="J50" s="997"/>
      <c r="K50" s="997"/>
      <c r="L50" s="997"/>
      <c r="M50" s="997"/>
      <c r="N50" s="952"/>
      <c r="O50" s="936"/>
      <c r="P50" s="632"/>
      <c r="Q50" s="786"/>
      <c r="R50" s="787"/>
      <c r="S50" s="787"/>
      <c r="T50" s="787"/>
      <c r="U50" s="787"/>
      <c r="V50" s="787"/>
      <c r="W50" s="787"/>
      <c r="X50" s="787"/>
      <c r="Y50" s="787"/>
      <c r="Z50" s="787"/>
      <c r="AA50" s="787"/>
      <c r="AB50" s="787"/>
      <c r="AC50" s="787"/>
      <c r="AD50" s="788"/>
    </row>
    <row r="51" spans="1:30" s="98" customFormat="1" ht="20.100000000000001" customHeight="1">
      <c r="A51" s="903"/>
      <c r="B51" s="632"/>
      <c r="C51" s="935"/>
      <c r="D51" s="633"/>
      <c r="E51" s="634"/>
      <c r="F51" s="635"/>
      <c r="G51" s="635"/>
      <c r="H51" s="635"/>
      <c r="I51" s="996"/>
      <c r="J51" s="997"/>
      <c r="K51" s="997"/>
      <c r="L51" s="997"/>
      <c r="M51" s="997"/>
      <c r="N51" s="952"/>
      <c r="O51" s="936"/>
      <c r="P51" s="632"/>
      <c r="Q51" s="786"/>
      <c r="R51" s="787"/>
      <c r="S51" s="787"/>
      <c r="T51" s="787"/>
      <c r="U51" s="787"/>
      <c r="V51" s="787"/>
      <c r="W51" s="787"/>
      <c r="X51" s="787"/>
      <c r="Y51" s="787"/>
      <c r="Z51" s="787"/>
      <c r="AA51" s="787"/>
      <c r="AB51" s="787"/>
      <c r="AC51" s="787"/>
      <c r="AD51" s="788"/>
    </row>
    <row r="52" spans="1:30" s="98" customFormat="1" ht="20.100000000000001" customHeight="1">
      <c r="A52" s="903"/>
      <c r="B52" s="632"/>
      <c r="C52" s="935"/>
      <c r="D52" s="306" t="s">
        <v>320</v>
      </c>
      <c r="E52" s="649"/>
      <c r="F52" s="650">
        <f>SUM(F53:F55)</f>
        <v>0</v>
      </c>
      <c r="G52" s="650">
        <f t="shared" ref="G52:H52" si="2">SUM(G53:G55)</f>
        <v>0</v>
      </c>
      <c r="H52" s="650">
        <f t="shared" si="2"/>
        <v>0</v>
      </c>
      <c r="I52" s="639"/>
      <c r="J52" s="998"/>
      <c r="K52" s="998"/>
      <c r="L52" s="998"/>
      <c r="M52" s="998"/>
      <c r="N52" s="999"/>
      <c r="O52" s="936"/>
      <c r="P52" s="632"/>
      <c r="Q52" s="786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8"/>
    </row>
    <row r="53" spans="1:30" s="98" customFormat="1" ht="20.100000000000001" customHeight="1">
      <c r="A53" s="903"/>
      <c r="B53" s="632"/>
      <c r="C53" s="935"/>
      <c r="D53" s="633"/>
      <c r="E53" s="634"/>
      <c r="F53" s="635"/>
      <c r="G53" s="635"/>
      <c r="H53" s="635"/>
      <c r="I53" s="996"/>
      <c r="J53" s="997"/>
      <c r="K53" s="997"/>
      <c r="L53" s="997"/>
      <c r="M53" s="997"/>
      <c r="N53" s="952"/>
      <c r="O53" s="936"/>
      <c r="P53" s="632"/>
      <c r="Q53" s="786"/>
      <c r="R53" s="787"/>
      <c r="S53" s="787"/>
      <c r="T53" s="787"/>
      <c r="U53" s="787"/>
      <c r="V53" s="787"/>
      <c r="W53" s="787"/>
      <c r="X53" s="787"/>
      <c r="Y53" s="787"/>
      <c r="Z53" s="787"/>
      <c r="AA53" s="787"/>
      <c r="AB53" s="787"/>
      <c r="AC53" s="787"/>
      <c r="AD53" s="788"/>
    </row>
    <row r="54" spans="1:30" s="98" customFormat="1" ht="20.100000000000001" customHeight="1">
      <c r="A54" s="903"/>
      <c r="B54" s="632"/>
      <c r="C54" s="935"/>
      <c r="D54" s="633"/>
      <c r="E54" s="634"/>
      <c r="F54" s="635"/>
      <c r="G54" s="635"/>
      <c r="H54" s="635"/>
      <c r="I54" s="1000"/>
      <c r="J54" s="1001"/>
      <c r="K54" s="1001"/>
      <c r="L54" s="1001"/>
      <c r="M54" s="1001"/>
      <c r="N54" s="1002"/>
      <c r="O54" s="936"/>
      <c r="P54" s="632"/>
      <c r="Q54" s="786"/>
      <c r="R54" s="787"/>
      <c r="S54" s="787"/>
      <c r="T54" s="787"/>
      <c r="U54" s="787"/>
      <c r="V54" s="787"/>
      <c r="W54" s="787"/>
      <c r="X54" s="787"/>
      <c r="Y54" s="787"/>
      <c r="Z54" s="787"/>
      <c r="AA54" s="787"/>
      <c r="AB54" s="787"/>
      <c r="AC54" s="787"/>
      <c r="AD54" s="788"/>
    </row>
    <row r="55" spans="1:30" s="98" customFormat="1" ht="20.100000000000001" customHeight="1">
      <c r="A55" s="903"/>
      <c r="B55" s="632"/>
      <c r="C55" s="935"/>
      <c r="D55" s="636"/>
      <c r="E55" s="637"/>
      <c r="F55" s="638"/>
      <c r="G55" s="638"/>
      <c r="H55" s="638"/>
      <c r="I55" s="1003"/>
      <c r="J55" s="1004"/>
      <c r="K55" s="1004"/>
      <c r="L55" s="1004"/>
      <c r="M55" s="1004"/>
      <c r="N55" s="1005"/>
      <c r="O55" s="936"/>
      <c r="P55" s="632"/>
      <c r="Q55" s="786"/>
      <c r="R55" s="787"/>
      <c r="S55" s="787"/>
      <c r="T55" s="787"/>
      <c r="U55" s="787"/>
      <c r="V55" s="787"/>
      <c r="W55" s="787"/>
      <c r="X55" s="787"/>
      <c r="Y55" s="787"/>
      <c r="Z55" s="787"/>
      <c r="AA55" s="787"/>
      <c r="AB55" s="787"/>
      <c r="AC55" s="787"/>
      <c r="AD55" s="788"/>
    </row>
    <row r="56" spans="1:30" s="98" customFormat="1" ht="23.1" customHeight="1" thickBot="1">
      <c r="A56" s="903"/>
      <c r="B56" s="632"/>
      <c r="C56" s="935"/>
      <c r="D56" s="242" t="s">
        <v>321</v>
      </c>
      <c r="E56" s="243"/>
      <c r="F56" s="70">
        <f>F57+F61</f>
        <v>-10638</v>
      </c>
      <c r="G56" s="70">
        <f>G57+G61</f>
        <v>0</v>
      </c>
      <c r="H56" s="70">
        <f>H57+H61</f>
        <v>0</v>
      </c>
      <c r="I56" s="248"/>
      <c r="J56" s="249"/>
      <c r="K56" s="249"/>
      <c r="L56" s="249"/>
      <c r="M56" s="249"/>
      <c r="N56" s="64"/>
      <c r="O56" s="936"/>
      <c r="P56" s="632"/>
      <c r="Q56" s="786"/>
      <c r="R56" s="787"/>
      <c r="S56" s="787"/>
      <c r="T56" s="787"/>
      <c r="U56" s="787"/>
      <c r="V56" s="787"/>
      <c r="W56" s="787"/>
      <c r="X56" s="787"/>
      <c r="Y56" s="787"/>
      <c r="Z56" s="787"/>
      <c r="AA56" s="787"/>
      <c r="AB56" s="787"/>
      <c r="AC56" s="787"/>
      <c r="AD56" s="788"/>
    </row>
    <row r="57" spans="1:30" s="98" customFormat="1" ht="20.100000000000001" customHeight="1">
      <c r="A57" s="903"/>
      <c r="B57" s="632"/>
      <c r="C57" s="935"/>
      <c r="D57" s="646" t="s">
        <v>322</v>
      </c>
      <c r="E57" s="647"/>
      <c r="F57" s="648">
        <f>SUM(F58:F60)</f>
        <v>-10638</v>
      </c>
      <c r="G57" s="648">
        <f>SUM(G58:G60)</f>
        <v>0</v>
      </c>
      <c r="H57" s="648">
        <f>SUM(H58:H60)</f>
        <v>0</v>
      </c>
      <c r="I57" s="993"/>
      <c r="J57" s="994"/>
      <c r="K57" s="994"/>
      <c r="L57" s="994"/>
      <c r="M57" s="994"/>
      <c r="N57" s="995"/>
      <c r="O57" s="936"/>
      <c r="P57" s="632"/>
      <c r="Q57" s="786"/>
      <c r="R57" s="787"/>
      <c r="S57" s="787"/>
      <c r="T57" s="787"/>
      <c r="U57" s="787"/>
      <c r="V57" s="787"/>
      <c r="W57" s="787"/>
      <c r="X57" s="787"/>
      <c r="Y57" s="787"/>
      <c r="Z57" s="787"/>
      <c r="AA57" s="787"/>
      <c r="AB57" s="787"/>
      <c r="AC57" s="787"/>
      <c r="AD57" s="788"/>
    </row>
    <row r="58" spans="1:30" s="98" customFormat="1" ht="20.100000000000001" customHeight="1">
      <c r="A58" s="903"/>
      <c r="B58" s="632"/>
      <c r="C58" s="935"/>
      <c r="D58" s="633" t="s">
        <v>323</v>
      </c>
      <c r="E58" s="634"/>
      <c r="F58" s="635">
        <v>-10596</v>
      </c>
      <c r="G58" s="635"/>
      <c r="H58" s="635"/>
      <c r="I58" s="996"/>
      <c r="J58" s="997"/>
      <c r="K58" s="997"/>
      <c r="L58" s="997"/>
      <c r="M58" s="997"/>
      <c r="N58" s="952"/>
      <c r="O58" s="936"/>
      <c r="P58" s="632"/>
      <c r="Q58" s="786"/>
      <c r="R58" s="787"/>
      <c r="S58" s="787"/>
      <c r="T58" s="787"/>
      <c r="U58" s="787"/>
      <c r="V58" s="787"/>
      <c r="W58" s="787"/>
      <c r="X58" s="787"/>
      <c r="Y58" s="787"/>
      <c r="Z58" s="787"/>
      <c r="AA58" s="787"/>
      <c r="AB58" s="787"/>
      <c r="AC58" s="787"/>
      <c r="AD58" s="788"/>
    </row>
    <row r="59" spans="1:30" s="98" customFormat="1" ht="20.100000000000001" customHeight="1">
      <c r="A59" s="903"/>
      <c r="B59" s="632"/>
      <c r="C59" s="935"/>
      <c r="D59" s="633" t="s">
        <v>324</v>
      </c>
      <c r="E59" s="634"/>
      <c r="F59" s="635">
        <v>-42</v>
      </c>
      <c r="G59" s="635"/>
      <c r="H59" s="635"/>
      <c r="I59" s="996"/>
      <c r="J59" s="997"/>
      <c r="K59" s="997"/>
      <c r="L59" s="997"/>
      <c r="M59" s="997"/>
      <c r="N59" s="952"/>
      <c r="O59" s="936"/>
      <c r="P59" s="632"/>
      <c r="Q59" s="786"/>
      <c r="R59" s="787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787"/>
      <c r="AD59" s="788"/>
    </row>
    <row r="60" spans="1:30" s="98" customFormat="1" ht="20.100000000000001" customHeight="1">
      <c r="A60" s="903"/>
      <c r="B60" s="632"/>
      <c r="C60" s="935"/>
      <c r="D60" s="633"/>
      <c r="E60" s="634"/>
      <c r="F60" s="635"/>
      <c r="G60" s="635"/>
      <c r="H60" s="635"/>
      <c r="I60" s="996"/>
      <c r="J60" s="997"/>
      <c r="K60" s="997"/>
      <c r="L60" s="997"/>
      <c r="M60" s="997"/>
      <c r="N60" s="952"/>
      <c r="O60" s="936"/>
      <c r="P60" s="632"/>
      <c r="Q60" s="786"/>
      <c r="R60" s="787"/>
      <c r="S60" s="787"/>
      <c r="T60" s="787"/>
      <c r="U60" s="787"/>
      <c r="V60" s="787"/>
      <c r="W60" s="787"/>
      <c r="X60" s="787"/>
      <c r="Y60" s="787"/>
      <c r="Z60" s="787"/>
      <c r="AA60" s="787"/>
      <c r="AB60" s="787"/>
      <c r="AC60" s="787"/>
      <c r="AD60" s="788"/>
    </row>
    <row r="61" spans="1:30" s="98" customFormat="1" ht="20.100000000000001" customHeight="1">
      <c r="A61" s="975"/>
      <c r="B61" s="632"/>
      <c r="C61" s="935"/>
      <c r="D61" s="306" t="s">
        <v>325</v>
      </c>
      <c r="E61" s="649"/>
      <c r="F61" s="650">
        <f>SUM(F62:F64)</f>
        <v>0</v>
      </c>
      <c r="G61" s="650">
        <f t="shared" ref="G61:H61" si="3">SUM(G62:G64)</f>
        <v>0</v>
      </c>
      <c r="H61" s="650">
        <f t="shared" si="3"/>
        <v>0</v>
      </c>
      <c r="I61" s="639"/>
      <c r="J61" s="998"/>
      <c r="K61" s="998"/>
      <c r="L61" s="998"/>
      <c r="M61" s="998"/>
      <c r="N61" s="999"/>
      <c r="O61" s="936"/>
      <c r="P61" s="632"/>
      <c r="Q61" s="786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787"/>
      <c r="AD61" s="788"/>
    </row>
    <row r="62" spans="1:30" s="98" customFormat="1" ht="20.100000000000001" customHeight="1">
      <c r="A62" s="975"/>
      <c r="B62" s="632"/>
      <c r="C62" s="935"/>
      <c r="D62" s="633"/>
      <c r="E62" s="634"/>
      <c r="F62" s="635"/>
      <c r="G62" s="635"/>
      <c r="H62" s="635"/>
      <c r="I62" s="996"/>
      <c r="J62" s="997"/>
      <c r="K62" s="997"/>
      <c r="L62" s="997"/>
      <c r="M62" s="997"/>
      <c r="N62" s="952"/>
      <c r="O62" s="936"/>
      <c r="P62" s="632"/>
      <c r="Q62" s="786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  <c r="AC62" s="787"/>
      <c r="AD62" s="788"/>
    </row>
    <row r="63" spans="1:30" s="98" customFormat="1" ht="20.100000000000001" customHeight="1">
      <c r="A63" s="975"/>
      <c r="B63" s="632"/>
      <c r="C63" s="935"/>
      <c r="D63" s="633"/>
      <c r="E63" s="634"/>
      <c r="F63" s="635"/>
      <c r="G63" s="635"/>
      <c r="H63" s="635"/>
      <c r="I63" s="996"/>
      <c r="J63" s="997"/>
      <c r="K63" s="997"/>
      <c r="L63" s="997"/>
      <c r="M63" s="997"/>
      <c r="N63" s="952"/>
      <c r="O63" s="936"/>
      <c r="P63" s="632"/>
      <c r="Q63" s="786"/>
      <c r="R63" s="787"/>
      <c r="S63" s="787"/>
      <c r="T63" s="787"/>
      <c r="U63" s="787"/>
      <c r="V63" s="787"/>
      <c r="W63" s="787"/>
      <c r="X63" s="787"/>
      <c r="Y63" s="787"/>
      <c r="Z63" s="787"/>
      <c r="AA63" s="787"/>
      <c r="AB63" s="787"/>
      <c r="AC63" s="787"/>
      <c r="AD63" s="788"/>
    </row>
    <row r="64" spans="1:30" s="98" customFormat="1" ht="20.100000000000001" customHeight="1">
      <c r="A64" s="975"/>
      <c r="B64" s="632"/>
      <c r="C64" s="935"/>
      <c r="D64" s="636"/>
      <c r="E64" s="637"/>
      <c r="F64" s="638"/>
      <c r="G64" s="638"/>
      <c r="H64" s="638"/>
      <c r="I64" s="1003"/>
      <c r="J64" s="1004"/>
      <c r="K64" s="1004"/>
      <c r="L64" s="1004"/>
      <c r="M64" s="1004"/>
      <c r="N64" s="1005"/>
      <c r="O64" s="936"/>
      <c r="P64" s="632"/>
      <c r="Q64" s="786"/>
      <c r="R64" s="787"/>
      <c r="S64" s="787"/>
      <c r="T64" s="787"/>
      <c r="U64" s="787"/>
      <c r="V64" s="787"/>
      <c r="W64" s="787"/>
      <c r="X64" s="787"/>
      <c r="Y64" s="787"/>
      <c r="Z64" s="787"/>
      <c r="AA64" s="787"/>
      <c r="AB64" s="787"/>
      <c r="AC64" s="787"/>
      <c r="AD64" s="788"/>
    </row>
    <row r="65" spans="1:30" s="98" customFormat="1" ht="23.1" customHeight="1">
      <c r="A65" s="975"/>
      <c r="B65" s="632"/>
      <c r="C65" s="935"/>
      <c r="D65" s="347"/>
      <c r="E65" s="347"/>
      <c r="F65" s="392"/>
      <c r="G65" s="392"/>
      <c r="H65" s="392"/>
      <c r="I65" s="392"/>
      <c r="J65" s="392"/>
      <c r="K65" s="392"/>
      <c r="L65" s="392"/>
      <c r="M65" s="392"/>
      <c r="N65" s="392"/>
      <c r="O65" s="936"/>
      <c r="P65" s="632"/>
      <c r="Q65" s="786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787"/>
      <c r="AD65" s="788"/>
    </row>
    <row r="66" spans="1:30" s="98" customFormat="1" ht="23.1" customHeight="1">
      <c r="A66" s="975"/>
      <c r="B66" s="632"/>
      <c r="C66" s="935"/>
      <c r="D66" s="217"/>
      <c r="E66" s="218"/>
      <c r="F66" s="246" t="s">
        <v>289</v>
      </c>
      <c r="G66" s="246" t="s">
        <v>290</v>
      </c>
      <c r="H66" s="246" t="s">
        <v>291</v>
      </c>
      <c r="I66" s="1154" t="s">
        <v>157</v>
      </c>
      <c r="J66" s="1155"/>
      <c r="K66" s="1155"/>
      <c r="L66" s="1155"/>
      <c r="M66" s="1155"/>
      <c r="N66" s="1156"/>
      <c r="O66" s="936"/>
      <c r="P66" s="632"/>
      <c r="Q66" s="786"/>
      <c r="R66" s="787"/>
      <c r="S66" s="787"/>
      <c r="T66" s="787"/>
      <c r="U66" s="787"/>
      <c r="V66" s="787"/>
      <c r="W66" s="787"/>
      <c r="X66" s="787"/>
      <c r="Y66" s="787"/>
      <c r="Z66" s="787"/>
      <c r="AA66" s="787"/>
      <c r="AB66" s="787"/>
      <c r="AC66" s="787"/>
      <c r="AD66" s="788"/>
    </row>
    <row r="67" spans="1:30" s="98" customFormat="1" ht="23.1" customHeight="1">
      <c r="A67" s="975"/>
      <c r="B67" s="632"/>
      <c r="C67" s="935"/>
      <c r="D67" s="225" t="s">
        <v>326</v>
      </c>
      <c r="E67" s="226"/>
      <c r="F67" s="247">
        <f>ejercicio-2</f>
        <v>2020</v>
      </c>
      <c r="G67" s="247">
        <f>ejercicio-1</f>
        <v>2021</v>
      </c>
      <c r="H67" s="247">
        <f>ejercicio</f>
        <v>2022</v>
      </c>
      <c r="I67" s="1157"/>
      <c r="J67" s="1158"/>
      <c r="K67" s="1158"/>
      <c r="L67" s="1158"/>
      <c r="M67" s="1158"/>
      <c r="N67" s="1159"/>
      <c r="O67" s="936"/>
      <c r="P67" s="632"/>
      <c r="Q67" s="786"/>
      <c r="R67" s="787"/>
      <c r="S67" s="787"/>
      <c r="T67" s="787"/>
      <c r="U67" s="787"/>
      <c r="V67" s="787"/>
      <c r="W67" s="787"/>
      <c r="X67" s="787"/>
      <c r="Y67" s="787"/>
      <c r="Z67" s="787"/>
      <c r="AA67" s="787"/>
      <c r="AB67" s="787"/>
      <c r="AC67" s="787"/>
      <c r="AD67" s="788"/>
    </row>
    <row r="68" spans="1:30" s="98" customFormat="1" ht="23.1" customHeight="1">
      <c r="A68" s="975"/>
      <c r="B68" s="632"/>
      <c r="C68" s="935"/>
      <c r="D68" s="1006" t="s">
        <v>327</v>
      </c>
      <c r="E68" s="1007"/>
      <c r="F68" s="991">
        <f>3873.63+795.9</f>
        <v>4669.53</v>
      </c>
      <c r="G68" s="991">
        <v>5744.13</v>
      </c>
      <c r="H68" s="679">
        <f>(408.51+408.51+231.21)+(406.98*12)</f>
        <v>5931.99</v>
      </c>
      <c r="I68" s="1008"/>
      <c r="J68" s="1009"/>
      <c r="K68" s="1009"/>
      <c r="L68" s="1009"/>
      <c r="M68" s="1009"/>
      <c r="N68" s="1010"/>
      <c r="O68" s="936"/>
      <c r="P68" s="632"/>
      <c r="Q68" s="786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88"/>
    </row>
    <row r="69" spans="1:30" s="98" customFormat="1" ht="23.1" customHeight="1">
      <c r="A69" s="975"/>
      <c r="B69" s="632"/>
      <c r="C69" s="935"/>
      <c r="D69" s="1011" t="s">
        <v>328</v>
      </c>
      <c r="E69" s="1012"/>
      <c r="F69" s="721">
        <v>2210.83</v>
      </c>
      <c r="G69" s="721">
        <v>488.6</v>
      </c>
      <c r="H69" s="638">
        <f>6513.88-5744.13</f>
        <v>769.75</v>
      </c>
      <c r="I69" s="1003"/>
      <c r="J69" s="1004"/>
      <c r="K69" s="1004"/>
      <c r="L69" s="1004"/>
      <c r="M69" s="1004"/>
      <c r="N69" s="1005"/>
      <c r="O69" s="936"/>
      <c r="P69" s="632"/>
      <c r="Q69" s="786"/>
      <c r="R69" s="787"/>
      <c r="S69" s="787"/>
      <c r="T69" s="787"/>
      <c r="U69" s="787"/>
      <c r="V69" s="787"/>
      <c r="W69" s="787"/>
      <c r="X69" s="787"/>
      <c r="Y69" s="787"/>
      <c r="Z69" s="787"/>
      <c r="AA69" s="787"/>
      <c r="AB69" s="787"/>
      <c r="AC69" s="787"/>
      <c r="AD69" s="788"/>
    </row>
    <row r="70" spans="1:30" s="98" customFormat="1" ht="23.1" customHeight="1">
      <c r="A70" s="975"/>
      <c r="B70" s="632"/>
      <c r="C70" s="935"/>
      <c r="D70" s="347"/>
      <c r="E70" s="347"/>
      <c r="F70" s="392"/>
      <c r="G70" s="392"/>
      <c r="H70" s="392"/>
      <c r="I70" s="392"/>
      <c r="J70" s="392"/>
      <c r="K70" s="392"/>
      <c r="L70" s="392"/>
      <c r="M70" s="392"/>
      <c r="N70" s="392"/>
      <c r="O70" s="936"/>
      <c r="P70" s="632"/>
      <c r="Q70" s="786"/>
      <c r="R70" s="787"/>
      <c r="S70" s="787"/>
      <c r="T70" s="787"/>
      <c r="U70" s="787"/>
      <c r="V70" s="787"/>
      <c r="W70" s="787"/>
      <c r="X70" s="787"/>
      <c r="Y70" s="787"/>
      <c r="Z70" s="787"/>
      <c r="AA70" s="787"/>
      <c r="AB70" s="787"/>
      <c r="AC70" s="787"/>
      <c r="AD70" s="788"/>
    </row>
    <row r="71" spans="1:30" s="98" customFormat="1" ht="23.1" customHeight="1">
      <c r="A71" s="975"/>
      <c r="B71" s="632"/>
      <c r="C71" s="935"/>
      <c r="D71" s="217"/>
      <c r="E71" s="218"/>
      <c r="F71" s="246" t="s">
        <v>289</v>
      </c>
      <c r="G71" s="246" t="s">
        <v>290</v>
      </c>
      <c r="H71" s="246" t="s">
        <v>291</v>
      </c>
      <c r="I71" s="1154" t="s">
        <v>157</v>
      </c>
      <c r="J71" s="1155"/>
      <c r="K71" s="1155"/>
      <c r="L71" s="1155"/>
      <c r="M71" s="1155"/>
      <c r="N71" s="1156"/>
      <c r="O71" s="936"/>
      <c r="P71" s="632"/>
      <c r="Q71" s="786"/>
      <c r="R71" s="787"/>
      <c r="S71" s="787"/>
      <c r="T71" s="787"/>
      <c r="U71" s="787"/>
      <c r="V71" s="787"/>
      <c r="W71" s="787"/>
      <c r="X71" s="787"/>
      <c r="Y71" s="787"/>
      <c r="Z71" s="787"/>
      <c r="AA71" s="787"/>
      <c r="AB71" s="787"/>
      <c r="AC71" s="787"/>
      <c r="AD71" s="788"/>
    </row>
    <row r="72" spans="1:30" s="98" customFormat="1" ht="23.1" customHeight="1">
      <c r="A72" s="975"/>
      <c r="B72" s="632"/>
      <c r="C72" s="935"/>
      <c r="D72" s="225" t="s">
        <v>329</v>
      </c>
      <c r="E72" s="226"/>
      <c r="F72" s="247">
        <f>ejercicio-2</f>
        <v>2020</v>
      </c>
      <c r="G72" s="247">
        <f>ejercicio-1</f>
        <v>2021</v>
      </c>
      <c r="H72" s="247">
        <f>ejercicio</f>
        <v>2022</v>
      </c>
      <c r="I72" s="1157"/>
      <c r="J72" s="1158"/>
      <c r="K72" s="1158"/>
      <c r="L72" s="1158"/>
      <c r="M72" s="1158"/>
      <c r="N72" s="1159"/>
      <c r="O72" s="936"/>
      <c r="P72" s="632"/>
      <c r="Q72" s="786"/>
      <c r="R72" s="787"/>
      <c r="S72" s="787"/>
      <c r="T72" s="787"/>
      <c r="U72" s="787"/>
      <c r="V72" s="787"/>
      <c r="W72" s="787"/>
      <c r="X72" s="787"/>
      <c r="Y72" s="787"/>
      <c r="Z72" s="787"/>
      <c r="AA72" s="787"/>
      <c r="AB72" s="787"/>
      <c r="AC72" s="787"/>
      <c r="AD72" s="788"/>
    </row>
    <row r="73" spans="1:30" s="98" customFormat="1" ht="23.1" customHeight="1">
      <c r="A73" s="975"/>
      <c r="B73" s="632"/>
      <c r="C73" s="935"/>
      <c r="D73" s="229" t="s">
        <v>330</v>
      </c>
      <c r="E73" s="230"/>
      <c r="F73" s="83">
        <f>SUM(F74:F76)</f>
        <v>29740.74</v>
      </c>
      <c r="G73" s="83">
        <f>SUM(G74:G76)</f>
        <v>33691.74</v>
      </c>
      <c r="H73" s="83">
        <f>SUM(H74:H76)</f>
        <v>34000</v>
      </c>
      <c r="I73" s="250"/>
      <c r="J73" s="251"/>
      <c r="K73" s="251"/>
      <c r="L73" s="251"/>
      <c r="M73" s="251"/>
      <c r="N73" s="252"/>
      <c r="O73" s="936"/>
      <c r="P73" s="632"/>
      <c r="Q73" s="786"/>
      <c r="R73" s="787"/>
      <c r="S73" s="787"/>
      <c r="T73" s="787"/>
      <c r="U73" s="787"/>
      <c r="V73" s="787"/>
      <c r="W73" s="787"/>
      <c r="X73" s="787"/>
      <c r="Y73" s="787"/>
      <c r="Z73" s="787"/>
      <c r="AA73" s="787"/>
      <c r="AB73" s="787"/>
      <c r="AC73" s="787"/>
      <c r="AD73" s="788"/>
    </row>
    <row r="74" spans="1:30" s="98" customFormat="1" ht="23.1" customHeight="1">
      <c r="A74" s="975"/>
      <c r="B74" s="632"/>
      <c r="C74" s="935"/>
      <c r="D74" s="1013" t="s">
        <v>331</v>
      </c>
      <c r="E74" s="1014"/>
      <c r="F74" s="654"/>
      <c r="G74" s="654"/>
      <c r="H74" s="654"/>
      <c r="I74" s="1015"/>
      <c r="J74" s="1016"/>
      <c r="K74" s="1016"/>
      <c r="L74" s="1016"/>
      <c r="M74" s="1016"/>
      <c r="N74" s="1017"/>
      <c r="O74" s="936"/>
      <c r="P74" s="632"/>
      <c r="Q74" s="786"/>
      <c r="R74" s="787"/>
      <c r="S74" s="787"/>
      <c r="T74" s="787"/>
      <c r="U74" s="787"/>
      <c r="V74" s="787"/>
      <c r="W74" s="787"/>
      <c r="X74" s="787"/>
      <c r="Y74" s="787"/>
      <c r="Z74" s="787"/>
      <c r="AA74" s="787"/>
      <c r="AB74" s="787"/>
      <c r="AC74" s="787"/>
      <c r="AD74" s="788"/>
    </row>
    <row r="75" spans="1:30" s="98" customFormat="1" ht="23.1" customHeight="1">
      <c r="A75" s="975"/>
      <c r="B75" s="632"/>
      <c r="C75" s="935"/>
      <c r="D75" s="1018" t="s">
        <v>332</v>
      </c>
      <c r="E75" s="649"/>
      <c r="F75" s="711">
        <v>24083.11</v>
      </c>
      <c r="G75" s="711">
        <v>31983.43</v>
      </c>
      <c r="H75" s="711">
        <v>32000</v>
      </c>
      <c r="I75" s="996"/>
      <c r="J75" s="997"/>
      <c r="K75" s="997"/>
      <c r="L75" s="997"/>
      <c r="M75" s="997"/>
      <c r="N75" s="952"/>
      <c r="O75" s="936"/>
      <c r="P75" s="632"/>
      <c r="Q75" s="786"/>
      <c r="R75" s="787"/>
      <c r="S75" s="787"/>
      <c r="T75" s="787"/>
      <c r="U75" s="787"/>
      <c r="V75" s="787"/>
      <c r="W75" s="787"/>
      <c r="X75" s="787"/>
      <c r="Y75" s="787"/>
      <c r="Z75" s="787"/>
      <c r="AA75" s="787"/>
      <c r="AB75" s="787"/>
      <c r="AC75" s="787"/>
      <c r="AD75" s="788"/>
    </row>
    <row r="76" spans="1:30" s="98" customFormat="1" ht="23.1" customHeight="1">
      <c r="A76" s="975"/>
      <c r="B76" s="632"/>
      <c r="C76" s="935"/>
      <c r="D76" s="1019" t="s">
        <v>333</v>
      </c>
      <c r="E76" s="1020"/>
      <c r="F76" s="716">
        <v>5657.63</v>
      </c>
      <c r="G76" s="716">
        <v>1708.31</v>
      </c>
      <c r="H76" s="716">
        <v>2000</v>
      </c>
      <c r="I76" s="1000"/>
      <c r="J76" s="1001"/>
      <c r="K76" s="1001"/>
      <c r="L76" s="1001"/>
      <c r="M76" s="1001"/>
      <c r="N76" s="1002"/>
      <c r="O76" s="936"/>
      <c r="P76" s="632"/>
      <c r="Q76" s="786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88"/>
    </row>
    <row r="77" spans="1:30" s="233" customFormat="1" ht="23.1" customHeight="1">
      <c r="A77" s="975"/>
      <c r="C77" s="152"/>
      <c r="D77" s="229" t="s">
        <v>334</v>
      </c>
      <c r="E77" s="230"/>
      <c r="F77" s="83">
        <f>SUM(F78:F83)</f>
        <v>506583.82</v>
      </c>
      <c r="G77" s="83">
        <f>SUM(G78:G83)</f>
        <v>569900.84</v>
      </c>
      <c r="H77" s="83">
        <f>SUM(H78:H83)</f>
        <v>686160.19</v>
      </c>
      <c r="I77" s="250"/>
      <c r="J77" s="251"/>
      <c r="K77" s="251"/>
      <c r="L77" s="251"/>
      <c r="M77" s="251"/>
      <c r="N77" s="252"/>
      <c r="O77" s="153"/>
      <c r="Q77" s="786"/>
      <c r="R77" s="787"/>
      <c r="S77" s="787"/>
      <c r="T77" s="787"/>
      <c r="U77" s="787"/>
      <c r="V77" s="787"/>
      <c r="W77" s="787"/>
      <c r="X77" s="787"/>
      <c r="Y77" s="787"/>
      <c r="Z77" s="787"/>
      <c r="AA77" s="787"/>
      <c r="AB77" s="787"/>
      <c r="AC77" s="787"/>
      <c r="AD77" s="788"/>
    </row>
    <row r="78" spans="1:30" s="98" customFormat="1" ht="23.1" customHeight="1">
      <c r="A78" s="975"/>
      <c r="B78" s="632"/>
      <c r="C78" s="935"/>
      <c r="D78" s="1013" t="s">
        <v>335</v>
      </c>
      <c r="E78" s="1014"/>
      <c r="F78" s="390"/>
      <c r="G78" s="390"/>
      <c r="H78" s="390"/>
      <c r="I78" s="1015"/>
      <c r="J78" s="1016"/>
      <c r="K78" s="1016"/>
      <c r="L78" s="1016"/>
      <c r="M78" s="1016"/>
      <c r="N78" s="1017"/>
      <c r="O78" s="936"/>
      <c r="P78" s="632"/>
      <c r="Q78" s="786"/>
      <c r="R78" s="787"/>
      <c r="S78" s="787"/>
      <c r="T78" s="787"/>
      <c r="U78" s="787"/>
      <c r="V78" s="787"/>
      <c r="W78" s="787"/>
      <c r="X78" s="787"/>
      <c r="Y78" s="787"/>
      <c r="Z78" s="787"/>
      <c r="AA78" s="787"/>
      <c r="AB78" s="787"/>
      <c r="AC78" s="787"/>
      <c r="AD78" s="788"/>
    </row>
    <row r="79" spans="1:30" s="98" customFormat="1" ht="23.1" customHeight="1">
      <c r="A79" s="975"/>
      <c r="B79" s="632"/>
      <c r="C79" s="935"/>
      <c r="D79" s="1018" t="s">
        <v>336</v>
      </c>
      <c r="E79" s="649"/>
      <c r="F79" s="635"/>
      <c r="G79" s="635"/>
      <c r="H79" s="635"/>
      <c r="I79" s="996"/>
      <c r="J79" s="997"/>
      <c r="K79" s="997"/>
      <c r="L79" s="997"/>
      <c r="M79" s="997"/>
      <c r="N79" s="952"/>
      <c r="O79" s="936"/>
      <c r="P79" s="632"/>
      <c r="Q79" s="786"/>
      <c r="R79" s="787"/>
      <c r="S79" s="787"/>
      <c r="T79" s="787"/>
      <c r="U79" s="787"/>
      <c r="V79" s="787"/>
      <c r="W79" s="787"/>
      <c r="X79" s="787"/>
      <c r="Y79" s="787"/>
      <c r="Z79" s="787"/>
      <c r="AA79" s="787"/>
      <c r="AB79" s="787"/>
      <c r="AC79" s="787"/>
      <c r="AD79" s="788"/>
    </row>
    <row r="80" spans="1:30" s="98" customFormat="1" ht="23.1" customHeight="1">
      <c r="A80" s="975"/>
      <c r="B80" s="632"/>
      <c r="C80" s="935"/>
      <c r="D80" s="1018" t="s">
        <v>337</v>
      </c>
      <c r="E80" s="649"/>
      <c r="F80" s="635"/>
      <c r="G80" s="635"/>
      <c r="H80" s="635"/>
      <c r="I80" s="996"/>
      <c r="J80" s="997"/>
      <c r="K80" s="997"/>
      <c r="L80" s="997"/>
      <c r="M80" s="997"/>
      <c r="N80" s="952"/>
      <c r="O80" s="936"/>
      <c r="P80" s="632"/>
      <c r="Q80" s="786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B80" s="787"/>
      <c r="AC80" s="787"/>
      <c r="AD80" s="788"/>
    </row>
    <row r="81" spans="1:30" s="98" customFormat="1" ht="23.1" customHeight="1">
      <c r="A81" s="975"/>
      <c r="B81" s="632"/>
      <c r="C81" s="935"/>
      <c r="D81" s="1018" t="s">
        <v>338</v>
      </c>
      <c r="E81" s="649"/>
      <c r="F81" s="635">
        <v>506583.82</v>
      </c>
      <c r="G81" s="635">
        <v>569900.84</v>
      </c>
      <c r="H81" s="635">
        <v>686160.19</v>
      </c>
      <c r="I81" s="996"/>
      <c r="J81" s="997"/>
      <c r="K81" s="997"/>
      <c r="L81" s="997"/>
      <c r="M81" s="997"/>
      <c r="N81" s="952"/>
      <c r="O81" s="936"/>
      <c r="P81" s="632"/>
      <c r="Q81" s="786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7"/>
      <c r="AC81" s="787"/>
      <c r="AD81" s="788"/>
    </row>
    <row r="82" spans="1:30" s="98" customFormat="1" ht="23.1" customHeight="1">
      <c r="A82" s="975"/>
      <c r="B82" s="632"/>
      <c r="C82" s="935"/>
      <c r="D82" s="1018" t="s">
        <v>339</v>
      </c>
      <c r="E82" s="649"/>
      <c r="F82" s="635"/>
      <c r="G82" s="635"/>
      <c r="H82" s="635"/>
      <c r="I82" s="996"/>
      <c r="J82" s="997"/>
      <c r="K82" s="997"/>
      <c r="L82" s="997"/>
      <c r="M82" s="997"/>
      <c r="N82" s="952"/>
      <c r="O82" s="936"/>
      <c r="P82" s="632"/>
      <c r="Q82" s="786"/>
      <c r="R82" s="787"/>
      <c r="S82" s="787"/>
      <c r="T82" s="787"/>
      <c r="U82" s="787"/>
      <c r="V82" s="787"/>
      <c r="W82" s="787"/>
      <c r="X82" s="787"/>
      <c r="Y82" s="787"/>
      <c r="Z82" s="787"/>
      <c r="AA82" s="787"/>
      <c r="AB82" s="787"/>
      <c r="AC82" s="787"/>
      <c r="AD82" s="788"/>
    </row>
    <row r="83" spans="1:30" s="98" customFormat="1" ht="23.1" customHeight="1">
      <c r="A83" s="975"/>
      <c r="B83" s="632"/>
      <c r="C83" s="935"/>
      <c r="D83" s="1011" t="s">
        <v>340</v>
      </c>
      <c r="E83" s="1012"/>
      <c r="F83" s="638"/>
      <c r="G83" s="638"/>
      <c r="H83" s="638"/>
      <c r="I83" s="1003"/>
      <c r="J83" s="1004"/>
      <c r="K83" s="1004"/>
      <c r="L83" s="1004"/>
      <c r="M83" s="1004"/>
      <c r="N83" s="1005"/>
      <c r="O83" s="936"/>
      <c r="P83" s="632"/>
      <c r="Q83" s="786"/>
      <c r="R83" s="787"/>
      <c r="S83" s="787"/>
      <c r="T83" s="787"/>
      <c r="U83" s="787"/>
      <c r="V83" s="787"/>
      <c r="W83" s="787"/>
      <c r="X83" s="787"/>
      <c r="Y83" s="787"/>
      <c r="Z83" s="787"/>
      <c r="AA83" s="787"/>
      <c r="AB83" s="787"/>
      <c r="AC83" s="787"/>
      <c r="AD83" s="788"/>
    </row>
    <row r="84" spans="1:30" s="98" customFormat="1" ht="23.1" customHeight="1">
      <c r="A84" s="975"/>
      <c r="B84" s="632"/>
      <c r="C84" s="935"/>
      <c r="D84" s="347"/>
      <c r="E84" s="347"/>
      <c r="F84" s="392"/>
      <c r="G84" s="392"/>
      <c r="H84" s="392"/>
      <c r="I84" s="392"/>
      <c r="J84" s="392"/>
      <c r="K84" s="392"/>
      <c r="L84" s="392"/>
      <c r="M84" s="392"/>
      <c r="N84" s="392"/>
      <c r="O84" s="936"/>
      <c r="P84" s="632"/>
      <c r="Q84" s="786"/>
      <c r="R84" s="787"/>
      <c r="S84" s="787"/>
      <c r="T84" s="787"/>
      <c r="U84" s="787"/>
      <c r="V84" s="787"/>
      <c r="W84" s="787"/>
      <c r="X84" s="787"/>
      <c r="Y84" s="787"/>
      <c r="Z84" s="787"/>
      <c r="AA84" s="787"/>
      <c r="AB84" s="787"/>
      <c r="AC84" s="787"/>
      <c r="AD84" s="788"/>
    </row>
    <row r="85" spans="1:30" s="98" customFormat="1" ht="23.1" customHeight="1">
      <c r="A85" s="975"/>
      <c r="B85" s="632"/>
      <c r="C85" s="935"/>
      <c r="D85" s="1163" t="s">
        <v>341</v>
      </c>
      <c r="E85" s="1164"/>
      <c r="F85" s="1165"/>
      <c r="G85" s="289" t="s">
        <v>342</v>
      </c>
      <c r="H85" s="246" t="s">
        <v>291</v>
      </c>
      <c r="I85" s="1161" t="s">
        <v>157</v>
      </c>
      <c r="J85" s="1161"/>
      <c r="K85" s="1161"/>
      <c r="L85" s="1161"/>
      <c r="M85" s="1161"/>
      <c r="N85" s="1161"/>
      <c r="O85" s="936"/>
      <c r="P85" s="632"/>
      <c r="Q85" s="786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8"/>
    </row>
    <row r="86" spans="1:30" s="98" customFormat="1" ht="42.95" customHeight="1">
      <c r="A86" s="975"/>
      <c r="B86" s="632"/>
      <c r="C86" s="935"/>
      <c r="D86" s="1166"/>
      <c r="E86" s="1167"/>
      <c r="F86" s="1168"/>
      <c r="G86" s="290" t="s">
        <v>343</v>
      </c>
      <c r="H86" s="247">
        <f>ejercicio</f>
        <v>2022</v>
      </c>
      <c r="I86" s="1162"/>
      <c r="J86" s="1162"/>
      <c r="K86" s="1162"/>
      <c r="L86" s="1162"/>
      <c r="M86" s="1162"/>
      <c r="N86" s="1162"/>
      <c r="O86" s="936"/>
      <c r="P86" s="632"/>
      <c r="Q86" s="786"/>
      <c r="R86" s="787"/>
      <c r="S86" s="787"/>
      <c r="T86" s="787"/>
      <c r="U86" s="787"/>
      <c r="V86" s="787"/>
      <c r="W86" s="787"/>
      <c r="X86" s="787"/>
      <c r="Y86" s="787"/>
      <c r="Z86" s="787"/>
      <c r="AA86" s="787"/>
      <c r="AB86" s="787"/>
      <c r="AC86" s="787"/>
      <c r="AD86" s="788"/>
    </row>
    <row r="87" spans="1:30" s="98" customFormat="1" ht="23.1" customHeight="1" thickBot="1">
      <c r="A87" s="975"/>
      <c r="B87" s="632"/>
      <c r="C87" s="935"/>
      <c r="D87" s="242" t="s">
        <v>344</v>
      </c>
      <c r="E87" s="291"/>
      <c r="F87" s="75"/>
      <c r="G87" s="70"/>
      <c r="H87" s="70">
        <f>SUM(H88:H90)</f>
        <v>0</v>
      </c>
      <c r="I87" s="248"/>
      <c r="J87" s="249"/>
      <c r="K87" s="249"/>
      <c r="L87" s="249"/>
      <c r="M87" s="249"/>
      <c r="N87" s="64"/>
      <c r="O87" s="936"/>
      <c r="P87" s="632"/>
      <c r="Q87" s="786"/>
      <c r="R87" s="787"/>
      <c r="S87" s="787"/>
      <c r="T87" s="787"/>
      <c r="U87" s="787"/>
      <c r="V87" s="787"/>
      <c r="W87" s="787"/>
      <c r="X87" s="787"/>
      <c r="Y87" s="787"/>
      <c r="Z87" s="787"/>
      <c r="AA87" s="787"/>
      <c r="AB87" s="787"/>
      <c r="AC87" s="787"/>
      <c r="AD87" s="788"/>
    </row>
    <row r="88" spans="1:30" s="98" customFormat="1" ht="23.1" customHeight="1">
      <c r="A88" s="975"/>
      <c r="B88" s="632"/>
      <c r="C88" s="935"/>
      <c r="D88" s="1169" t="s">
        <v>345</v>
      </c>
      <c r="E88" s="1170"/>
      <c r="F88" s="1171"/>
      <c r="G88" s="855"/>
      <c r="H88" s="654"/>
      <c r="I88" s="1015"/>
      <c r="J88" s="1016"/>
      <c r="K88" s="1016"/>
      <c r="L88" s="1016"/>
      <c r="M88" s="1016"/>
      <c r="N88" s="1017"/>
      <c r="O88" s="936"/>
      <c r="P88" s="632"/>
      <c r="Q88" s="786"/>
      <c r="R88" s="787"/>
      <c r="S88" s="787"/>
      <c r="T88" s="787"/>
      <c r="U88" s="787"/>
      <c r="V88" s="787"/>
      <c r="W88" s="787"/>
      <c r="X88" s="787"/>
      <c r="Y88" s="787"/>
      <c r="Z88" s="787"/>
      <c r="AA88" s="787"/>
      <c r="AB88" s="787"/>
      <c r="AC88" s="787"/>
      <c r="AD88" s="788"/>
    </row>
    <row r="89" spans="1:30" s="98" customFormat="1" ht="23.1" customHeight="1">
      <c r="A89" s="975"/>
      <c r="B89" s="632"/>
      <c r="C89" s="935"/>
      <c r="D89" s="1018" t="s">
        <v>346</v>
      </c>
      <c r="E89" s="1023"/>
      <c r="F89" s="649"/>
      <c r="G89" s="855"/>
      <c r="H89" s="654"/>
      <c r="I89" s="1015"/>
      <c r="J89" s="1016"/>
      <c r="K89" s="1016"/>
      <c r="L89" s="1016"/>
      <c r="M89" s="1016"/>
      <c r="N89" s="1017"/>
      <c r="O89" s="936"/>
      <c r="P89" s="632"/>
      <c r="Q89" s="786"/>
      <c r="R89" s="787"/>
      <c r="S89" s="787"/>
      <c r="T89" s="787"/>
      <c r="U89" s="787"/>
      <c r="V89" s="787"/>
      <c r="W89" s="787"/>
      <c r="X89" s="787"/>
      <c r="Y89" s="787"/>
      <c r="Z89" s="787"/>
      <c r="AA89" s="787"/>
      <c r="AB89" s="787"/>
      <c r="AC89" s="787"/>
      <c r="AD89" s="788"/>
    </row>
    <row r="90" spans="1:30" s="98" customFormat="1" ht="23.1" customHeight="1">
      <c r="A90" s="975"/>
      <c r="B90" s="632"/>
      <c r="C90" s="935"/>
      <c r="D90" s="1172" t="s">
        <v>347</v>
      </c>
      <c r="E90" s="1173"/>
      <c r="F90" s="1174"/>
      <c r="G90" s="856"/>
      <c r="H90" s="711"/>
      <c r="I90" s="996"/>
      <c r="J90" s="997"/>
      <c r="K90" s="997"/>
      <c r="L90" s="997"/>
      <c r="M90" s="997"/>
      <c r="N90" s="952"/>
      <c r="O90" s="936"/>
      <c r="P90" s="632"/>
      <c r="Q90" s="786"/>
      <c r="R90" s="787"/>
      <c r="S90" s="787"/>
      <c r="T90" s="787"/>
      <c r="U90" s="787"/>
      <c r="V90" s="787"/>
      <c r="W90" s="787"/>
      <c r="X90" s="787"/>
      <c r="Y90" s="787"/>
      <c r="Z90" s="787"/>
      <c r="AA90" s="787"/>
      <c r="AB90" s="787"/>
      <c r="AC90" s="787"/>
      <c r="AD90" s="788"/>
    </row>
    <row r="91" spans="1:30" s="98" customFormat="1" ht="23.1" customHeight="1">
      <c r="A91" s="975"/>
      <c r="B91" s="632"/>
      <c r="C91" s="935"/>
      <c r="D91" s="347"/>
      <c r="E91" s="347"/>
      <c r="F91" s="1024"/>
      <c r="G91" s="1024"/>
      <c r="H91" s="1024"/>
      <c r="I91" s="1025"/>
      <c r="J91" s="1025"/>
      <c r="K91" s="1025"/>
      <c r="L91" s="1025"/>
      <c r="M91" s="1025"/>
      <c r="N91" s="1025"/>
      <c r="O91" s="936"/>
      <c r="P91" s="632"/>
      <c r="Q91" s="786"/>
      <c r="R91" s="787"/>
      <c r="S91" s="787"/>
      <c r="T91" s="787"/>
      <c r="U91" s="787"/>
      <c r="V91" s="787"/>
      <c r="W91" s="787"/>
      <c r="X91" s="787"/>
      <c r="Y91" s="787"/>
      <c r="Z91" s="787"/>
      <c r="AA91" s="787"/>
      <c r="AB91" s="787"/>
      <c r="AC91" s="787"/>
      <c r="AD91" s="788"/>
    </row>
    <row r="92" spans="1:30" s="98" customFormat="1" ht="23.1" customHeight="1">
      <c r="A92" s="975"/>
      <c r="B92" s="632"/>
      <c r="C92" s="935"/>
      <c r="D92" s="286" t="s">
        <v>179</v>
      </c>
      <c r="E92" s="287"/>
      <c r="F92" s="392"/>
      <c r="G92" s="392"/>
      <c r="H92" s="392"/>
      <c r="I92" s="392"/>
      <c r="J92" s="392"/>
      <c r="K92" s="392"/>
      <c r="L92" s="392"/>
      <c r="M92" s="392"/>
      <c r="N92" s="392"/>
      <c r="O92" s="936"/>
      <c r="P92" s="632"/>
      <c r="Q92" s="786"/>
      <c r="R92" s="787"/>
      <c r="S92" s="787"/>
      <c r="T92" s="787"/>
      <c r="U92" s="787"/>
      <c r="V92" s="787"/>
      <c r="W92" s="787"/>
      <c r="X92" s="787"/>
      <c r="Y92" s="787"/>
      <c r="Z92" s="787"/>
      <c r="AA92" s="787"/>
      <c r="AB92" s="787"/>
      <c r="AC92" s="787"/>
      <c r="AD92" s="788"/>
    </row>
    <row r="93" spans="1:30" s="98" customFormat="1" ht="23.1" customHeight="1">
      <c r="A93" s="975"/>
      <c r="B93" s="632"/>
      <c r="C93" s="935"/>
      <c r="D93" s="287" t="s">
        <v>348</v>
      </c>
      <c r="E93" s="287"/>
      <c r="F93" s="67"/>
      <c r="G93" s="67"/>
      <c r="H93" s="67"/>
      <c r="I93" s="67"/>
      <c r="J93" s="67"/>
      <c r="K93" s="67"/>
      <c r="L93" s="67"/>
      <c r="M93" s="67"/>
      <c r="N93" s="67"/>
      <c r="O93" s="936"/>
      <c r="P93" s="632"/>
      <c r="Q93" s="786"/>
      <c r="R93" s="787"/>
      <c r="S93" s="787"/>
      <c r="T93" s="787"/>
      <c r="U93" s="787"/>
      <c r="V93" s="787"/>
      <c r="W93" s="787"/>
      <c r="X93" s="787"/>
      <c r="Y93" s="787"/>
      <c r="Z93" s="787"/>
      <c r="AA93" s="787"/>
      <c r="AB93" s="787"/>
      <c r="AC93" s="787"/>
      <c r="AD93" s="788"/>
    </row>
    <row r="94" spans="1:30" s="98" customFormat="1" ht="23.1" customHeight="1">
      <c r="A94" s="975"/>
      <c r="B94" s="632"/>
      <c r="C94" s="935"/>
      <c r="D94" s="288" t="s">
        <v>349</v>
      </c>
      <c r="E94" s="287"/>
      <c r="F94" s="67"/>
      <c r="G94" s="67"/>
      <c r="H94" s="67"/>
      <c r="I94" s="67"/>
      <c r="J94" s="67"/>
      <c r="K94" s="67"/>
      <c r="L94" s="67"/>
      <c r="M94" s="67"/>
      <c r="N94" s="67"/>
      <c r="O94" s="936"/>
      <c r="P94" s="632"/>
      <c r="Q94" s="786"/>
      <c r="R94" s="787"/>
      <c r="S94" s="787"/>
      <c r="T94" s="787"/>
      <c r="U94" s="787"/>
      <c r="V94" s="787"/>
      <c r="W94" s="787"/>
      <c r="X94" s="787"/>
      <c r="Y94" s="787"/>
      <c r="Z94" s="787"/>
      <c r="AA94" s="787"/>
      <c r="AB94" s="787"/>
      <c r="AC94" s="787"/>
      <c r="AD94" s="788"/>
    </row>
    <row r="95" spans="1:30" s="98" customFormat="1" ht="23.1" customHeight="1">
      <c r="A95" s="975"/>
      <c r="B95" s="632"/>
      <c r="C95" s="935"/>
      <c r="D95" s="288" t="s">
        <v>350</v>
      </c>
      <c r="E95" s="287"/>
      <c r="F95" s="67"/>
      <c r="G95" s="67"/>
      <c r="H95" s="67"/>
      <c r="I95" s="67"/>
      <c r="J95" s="67"/>
      <c r="K95" s="67"/>
      <c r="L95" s="67"/>
      <c r="M95" s="67"/>
      <c r="N95" s="67"/>
      <c r="O95" s="936"/>
      <c r="P95" s="632"/>
      <c r="Q95" s="786"/>
      <c r="R95" s="787"/>
      <c r="S95" s="787"/>
      <c r="T95" s="787"/>
      <c r="U95" s="787"/>
      <c r="V95" s="787"/>
      <c r="W95" s="787"/>
      <c r="X95" s="787"/>
      <c r="Y95" s="787"/>
      <c r="Z95" s="787"/>
      <c r="AA95" s="787"/>
      <c r="AB95" s="787"/>
      <c r="AC95" s="787"/>
      <c r="AD95" s="788"/>
    </row>
    <row r="96" spans="1:30" ht="23.1" customHeight="1" thickBot="1">
      <c r="A96" s="975"/>
      <c r="C96" s="50"/>
      <c r="D96" s="1148"/>
      <c r="E96" s="1148"/>
      <c r="F96" s="1148"/>
      <c r="G96" s="1148"/>
      <c r="H96" s="26"/>
      <c r="I96" s="26"/>
      <c r="J96" s="26"/>
      <c r="K96" s="26"/>
      <c r="L96" s="26"/>
      <c r="M96" s="26"/>
      <c r="N96" s="26"/>
      <c r="O96" s="52"/>
      <c r="Q96" s="789"/>
      <c r="R96" s="790"/>
      <c r="S96" s="790"/>
      <c r="T96" s="790"/>
      <c r="U96" s="790"/>
      <c r="V96" s="790"/>
      <c r="W96" s="790"/>
      <c r="X96" s="790"/>
      <c r="Y96" s="790"/>
      <c r="Z96" s="790"/>
      <c r="AA96" s="790"/>
      <c r="AB96" s="790"/>
      <c r="AC96" s="790"/>
      <c r="AD96" s="791"/>
    </row>
    <row r="97" spans="4:16" ht="23.1" customHeight="1">
      <c r="P97" s="32" t="s">
        <v>140</v>
      </c>
    </row>
    <row r="98" spans="4:16" ht="15">
      <c r="D98" s="53" t="s">
        <v>39</v>
      </c>
      <c r="N98" s="23" t="s">
        <v>351</v>
      </c>
    </row>
    <row r="99" spans="4:16" ht="15">
      <c r="D99" s="53" t="s">
        <v>41</v>
      </c>
    </row>
    <row r="100" spans="4:16" ht="15">
      <c r="D100" s="53" t="s">
        <v>42</v>
      </c>
    </row>
    <row r="101" spans="4:16" ht="15">
      <c r="D101" s="53" t="s">
        <v>43</v>
      </c>
    </row>
    <row r="102" spans="4:16" ht="15">
      <c r="D102" s="53" t="s">
        <v>44</v>
      </c>
    </row>
  </sheetData>
  <sheetProtection algorithmName="SHA-512" hashValue="S0G7OlQCh20xar6CyNyJl/h7xcbFOTerBCXCam19Kzbwwe8o3BL7E/AMHGJrXaAfp34MBHssmiQ7dYwuJ7+jXg==" saltValue="34kJh+h0co8WJ3JnAzUG8g==" spinCount="100000" sheet="1" insertRows="0"/>
  <mergeCells count="11">
    <mergeCell ref="D96:G96"/>
    <mergeCell ref="I45:N46"/>
    <mergeCell ref="I66:N67"/>
    <mergeCell ref="N6:N7"/>
    <mergeCell ref="E9:N9"/>
    <mergeCell ref="D12:E12"/>
    <mergeCell ref="I71:N72"/>
    <mergeCell ref="I85:N86"/>
    <mergeCell ref="D85:F86"/>
    <mergeCell ref="D88:F88"/>
    <mergeCell ref="D90:F90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ignoredErrors>
    <ignoredError sqref="F48:H48 F60:H61 G59:H59 G58:H58 F50:H57 G49:H49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Y69"/>
  <sheetViews>
    <sheetView zoomScale="115" zoomScaleNormal="115" workbookViewId="0">
      <selection activeCell="I35" sqref="I35"/>
    </sheetView>
  </sheetViews>
  <sheetFormatPr baseColWidth="10" defaultColWidth="10.6640625" defaultRowHeight="23.1" customHeight="1"/>
  <cols>
    <col min="1" max="1" width="10.6640625" style="149"/>
    <col min="2" max="2" width="4.109375" style="24" bestFit="1" customWidth="1"/>
    <col min="3" max="3" width="3.109375" style="24" customWidth="1"/>
    <col min="4" max="4" width="13.5546875" style="24" customWidth="1"/>
    <col min="5" max="5" width="76.6640625" style="24" customWidth="1"/>
    <col min="6" max="9" width="18.33203125" style="24" customWidth="1"/>
    <col min="10" max="10" width="3.33203125" style="24" customWidth="1"/>
    <col min="11" max="16384" width="10.6640625" style="24"/>
  </cols>
  <sheetData>
    <row r="1" spans="1:25" ht="23.1" customHeight="1">
      <c r="A1" s="369"/>
    </row>
    <row r="2" spans="1:25" ht="23.1" customHeight="1">
      <c r="A2" s="369"/>
      <c r="E2" s="347" t="str">
        <f>_GENERAL!D2</f>
        <v>Área de Presidencia, Hacienda y Modernización</v>
      </c>
    </row>
    <row r="3" spans="1:25" ht="23.1" customHeight="1">
      <c r="A3" s="369"/>
      <c r="E3" s="347" t="str">
        <f>_GENERAL!D3</f>
        <v>Dirección Insular de Hacienda</v>
      </c>
    </row>
    <row r="4" spans="1:25" ht="23.1" customHeight="1" thickBot="1">
      <c r="A4" s="369"/>
      <c r="B4" s="24" t="s">
        <v>100</v>
      </c>
    </row>
    <row r="5" spans="1:25" ht="9" customHeight="1">
      <c r="A5" s="975"/>
      <c r="C5" s="255"/>
      <c r="D5" s="256"/>
      <c r="E5" s="256"/>
      <c r="F5" s="256"/>
      <c r="G5" s="256"/>
      <c r="H5" s="256"/>
      <c r="I5" s="256"/>
      <c r="J5" s="257"/>
      <c r="L5" s="757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</row>
    <row r="6" spans="1:25" ht="30" customHeight="1">
      <c r="A6" s="975"/>
      <c r="C6" s="258"/>
      <c r="D6" s="1" t="s">
        <v>2</v>
      </c>
      <c r="I6" s="1140">
        <f>ejercicio</f>
        <v>2022</v>
      </c>
      <c r="J6" s="259"/>
      <c r="L6" s="174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7"/>
    </row>
    <row r="7" spans="1:25" ht="30" customHeight="1">
      <c r="A7" s="975"/>
      <c r="C7" s="258"/>
      <c r="D7" s="1" t="s">
        <v>3</v>
      </c>
      <c r="I7" s="1140"/>
      <c r="J7" s="259"/>
      <c r="L7" s="178"/>
      <c r="M7" s="175" t="s">
        <v>101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0"/>
    </row>
    <row r="8" spans="1:25" ht="30" customHeight="1">
      <c r="A8" s="975"/>
      <c r="C8" s="258"/>
      <c r="D8" s="261"/>
      <c r="I8" s="228"/>
      <c r="J8" s="259"/>
      <c r="L8" s="777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9"/>
    </row>
    <row r="9" spans="1:25" s="262" customFormat="1" ht="30" customHeight="1">
      <c r="A9" s="900" t="s">
        <v>46</v>
      </c>
      <c r="B9" s="369"/>
      <c r="C9" s="966"/>
      <c r="D9" s="21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967"/>
      <c r="K9" s="369"/>
      <c r="L9" s="780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2"/>
    </row>
    <row r="10" spans="1:25" ht="6.95" customHeight="1">
      <c r="A10" s="975"/>
      <c r="C10" s="258"/>
      <c r="J10" s="259"/>
      <c r="L10" s="780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2"/>
    </row>
    <row r="11" spans="1:25" s="28" customFormat="1" ht="30" customHeight="1">
      <c r="A11" s="901"/>
      <c r="C11" s="10"/>
      <c r="D11" s="4" t="s">
        <v>352</v>
      </c>
      <c r="E11" s="4"/>
      <c r="F11" s="4"/>
      <c r="G11" s="4"/>
      <c r="H11" s="4"/>
      <c r="I11" s="4"/>
      <c r="J11" s="263"/>
      <c r="L11" s="780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2"/>
    </row>
    <row r="12" spans="1:25" s="28" customFormat="1" ht="30" customHeight="1">
      <c r="A12" s="901"/>
      <c r="C12" s="10"/>
      <c r="J12" s="263"/>
      <c r="L12" s="780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2"/>
    </row>
    <row r="13" spans="1:25" ht="23.1" customHeight="1">
      <c r="A13" s="901"/>
      <c r="C13" s="258"/>
      <c r="D13" s="559"/>
      <c r="E13" s="560"/>
      <c r="F13" s="830" t="s">
        <v>184</v>
      </c>
      <c r="G13" s="831" t="s">
        <v>185</v>
      </c>
      <c r="H13" s="832" t="s">
        <v>186</v>
      </c>
      <c r="I13" s="833" t="s">
        <v>187</v>
      </c>
      <c r="J13" s="259"/>
      <c r="L13" s="780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2"/>
    </row>
    <row r="14" spans="1:25" ht="23.1" customHeight="1">
      <c r="A14" s="902"/>
      <c r="C14" s="258"/>
      <c r="D14" s="561" t="s">
        <v>353</v>
      </c>
      <c r="E14" s="562"/>
      <c r="F14" s="834">
        <f>ejercicio-2</f>
        <v>2020</v>
      </c>
      <c r="G14" s="835">
        <f>ejercicio-1</f>
        <v>2021</v>
      </c>
      <c r="H14" s="836">
        <f>ejercicio-1</f>
        <v>2021</v>
      </c>
      <c r="I14" s="837">
        <f>ejercicio</f>
        <v>2022</v>
      </c>
      <c r="J14" s="259"/>
      <c r="L14" s="780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</row>
    <row r="15" spans="1:25" ht="23.1" customHeight="1">
      <c r="A15" s="903"/>
      <c r="C15" s="258"/>
      <c r="D15" s="537"/>
      <c r="E15" s="538"/>
      <c r="F15" s="564"/>
      <c r="G15" s="838"/>
      <c r="H15" s="565"/>
      <c r="I15" s="566"/>
      <c r="J15" s="259"/>
      <c r="L15" s="780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2"/>
    </row>
    <row r="16" spans="1:25" ht="23.1" customHeight="1">
      <c r="A16" s="903"/>
      <c r="C16" s="258"/>
      <c r="D16" s="567" t="s">
        <v>354</v>
      </c>
      <c r="E16" s="568" t="s">
        <v>355</v>
      </c>
      <c r="F16" s="569">
        <f>SUM(F17:F23)</f>
        <v>44257.09</v>
      </c>
      <c r="G16" s="569">
        <f>SUM(G17:G23)</f>
        <v>31548.489999999998</v>
      </c>
      <c r="H16" s="569">
        <f>SUM(H17:H23)</f>
        <v>35184.700000000004</v>
      </c>
      <c r="I16" s="569">
        <f>SUM(I17:I23)</f>
        <v>31124.610000000004</v>
      </c>
      <c r="J16" s="259"/>
      <c r="L16" s="780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2"/>
    </row>
    <row r="17" spans="1:25" ht="23.1" customHeight="1">
      <c r="A17" s="903"/>
      <c r="C17" s="258"/>
      <c r="D17" s="540" t="s">
        <v>356</v>
      </c>
      <c r="E17" s="541" t="s">
        <v>357</v>
      </c>
      <c r="F17" s="196">
        <v>862.96</v>
      </c>
      <c r="G17" s="196">
        <v>367.51</v>
      </c>
      <c r="H17" s="196">
        <v>367.51</v>
      </c>
      <c r="I17" s="196">
        <v>123.87</v>
      </c>
      <c r="J17" s="259"/>
      <c r="L17" s="780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2"/>
    </row>
    <row r="18" spans="1:25" ht="23.1" customHeight="1">
      <c r="A18" s="903"/>
      <c r="C18" s="258"/>
      <c r="D18" s="540" t="s">
        <v>358</v>
      </c>
      <c r="E18" s="541" t="s">
        <v>359</v>
      </c>
      <c r="F18" s="196">
        <v>0</v>
      </c>
      <c r="G18" s="196">
        <v>0</v>
      </c>
      <c r="H18" s="196">
        <v>0</v>
      </c>
      <c r="I18" s="196">
        <v>0</v>
      </c>
      <c r="J18" s="259"/>
      <c r="L18" s="780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2"/>
    </row>
    <row r="19" spans="1:25" ht="23.1" customHeight="1">
      <c r="A19" s="903"/>
      <c r="C19" s="258"/>
      <c r="D19" s="540" t="s">
        <v>360</v>
      </c>
      <c r="E19" s="541" t="s">
        <v>361</v>
      </c>
      <c r="F19" s="196">
        <v>43394.13</v>
      </c>
      <c r="G19" s="196">
        <v>31180.98</v>
      </c>
      <c r="H19" s="196">
        <v>34817.19</v>
      </c>
      <c r="I19" s="196">
        <v>31000.740000000005</v>
      </c>
      <c r="J19" s="259"/>
      <c r="L19" s="780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2"/>
    </row>
    <row r="20" spans="1:25" ht="23.1" customHeight="1">
      <c r="A20" s="903"/>
      <c r="C20" s="258"/>
      <c r="D20" s="540" t="s">
        <v>362</v>
      </c>
      <c r="E20" s="541" t="s">
        <v>363</v>
      </c>
      <c r="F20" s="196">
        <v>0</v>
      </c>
      <c r="G20" s="196">
        <v>0</v>
      </c>
      <c r="H20" s="196">
        <v>0</v>
      </c>
      <c r="I20" s="196">
        <v>0</v>
      </c>
      <c r="J20" s="259"/>
      <c r="L20" s="780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2"/>
    </row>
    <row r="21" spans="1:25" ht="23.1" customHeight="1">
      <c r="A21" s="903"/>
      <c r="C21" s="258"/>
      <c r="D21" s="540" t="s">
        <v>364</v>
      </c>
      <c r="E21" s="541" t="s">
        <v>365</v>
      </c>
      <c r="F21" s="196">
        <v>0</v>
      </c>
      <c r="G21" s="196">
        <v>0</v>
      </c>
      <c r="H21" s="196">
        <v>0</v>
      </c>
      <c r="I21" s="196">
        <v>0</v>
      </c>
      <c r="J21" s="259"/>
      <c r="L21" s="780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2"/>
    </row>
    <row r="22" spans="1:25" ht="23.1" customHeight="1">
      <c r="A22" s="903"/>
      <c r="C22" s="258"/>
      <c r="D22" s="540" t="s">
        <v>366</v>
      </c>
      <c r="E22" s="541" t="s">
        <v>367</v>
      </c>
      <c r="F22" s="196">
        <v>0</v>
      </c>
      <c r="G22" s="196">
        <v>0</v>
      </c>
      <c r="H22" s="196">
        <v>0</v>
      </c>
      <c r="I22" s="196">
        <v>0</v>
      </c>
      <c r="J22" s="259"/>
      <c r="L22" s="780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2"/>
    </row>
    <row r="23" spans="1:25" ht="23.1" customHeight="1">
      <c r="A23" s="903"/>
      <c r="C23" s="258"/>
      <c r="D23" s="540" t="s">
        <v>368</v>
      </c>
      <c r="E23" s="541" t="s">
        <v>369</v>
      </c>
      <c r="F23" s="196">
        <v>0</v>
      </c>
      <c r="G23" s="196">
        <v>0</v>
      </c>
      <c r="H23" s="196">
        <v>0</v>
      </c>
      <c r="I23" s="196">
        <v>0</v>
      </c>
      <c r="J23" s="259"/>
      <c r="L23" s="780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2"/>
    </row>
    <row r="24" spans="1:25" ht="23.1" customHeight="1">
      <c r="A24" s="903"/>
      <c r="C24" s="258"/>
      <c r="D24" s="558"/>
      <c r="E24" s="369"/>
      <c r="F24" s="564"/>
      <c r="G24" s="564"/>
      <c r="H24" s="565"/>
      <c r="I24" s="566"/>
      <c r="J24" s="259"/>
      <c r="L24" s="780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2"/>
    </row>
    <row r="25" spans="1:25" ht="23.1" customHeight="1">
      <c r="A25" s="903"/>
      <c r="C25" s="258"/>
      <c r="D25" s="567" t="s">
        <v>261</v>
      </c>
      <c r="E25" s="568" t="s">
        <v>370</v>
      </c>
      <c r="F25" s="569">
        <f>SUM(F26:F28)+SUM(F31:F34)</f>
        <v>452527.3</v>
      </c>
      <c r="G25" s="569">
        <f>SUM(G26:G28)+SUM(G31:G34)</f>
        <v>208837.94</v>
      </c>
      <c r="H25" s="569">
        <f>SUM(H26:H28)+SUM(H31:H34)</f>
        <v>304467.62</v>
      </c>
      <c r="I25" s="569">
        <f>SUM(I26:I28)+SUM(I31:I34)</f>
        <v>219559.67</v>
      </c>
      <c r="J25" s="259"/>
      <c r="L25" s="780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2"/>
    </row>
    <row r="26" spans="1:25" ht="23.1" customHeight="1">
      <c r="A26" s="903"/>
      <c r="C26" s="258"/>
      <c r="D26" s="540" t="s">
        <v>356</v>
      </c>
      <c r="E26" s="541" t="s">
        <v>371</v>
      </c>
      <c r="F26" s="196">
        <v>32584.02</v>
      </c>
      <c r="G26" s="196">
        <v>26000</v>
      </c>
      <c r="H26" s="196">
        <v>35000</v>
      </c>
      <c r="I26" s="196">
        <v>34500</v>
      </c>
      <c r="J26" s="259"/>
      <c r="L26" s="780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2"/>
    </row>
    <row r="27" spans="1:25" ht="23.1" customHeight="1">
      <c r="A27" s="903"/>
      <c r="C27" s="258"/>
      <c r="D27" s="540" t="s">
        <v>358</v>
      </c>
      <c r="E27" s="541" t="s">
        <v>372</v>
      </c>
      <c r="F27" s="196">
        <v>0</v>
      </c>
      <c r="G27" s="196">
        <v>0</v>
      </c>
      <c r="H27" s="196">
        <v>0</v>
      </c>
      <c r="I27" s="196">
        <v>0</v>
      </c>
      <c r="J27" s="259"/>
      <c r="L27" s="780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2"/>
    </row>
    <row r="28" spans="1:25" ht="23.1" customHeight="1">
      <c r="A28" s="903"/>
      <c r="C28" s="258"/>
      <c r="D28" s="540" t="s">
        <v>360</v>
      </c>
      <c r="E28" s="541" t="s">
        <v>373</v>
      </c>
      <c r="F28" s="756">
        <f>F29+F30</f>
        <v>297878.65999999997</v>
      </c>
      <c r="G28" s="756">
        <f>G29+G30</f>
        <v>49281.680000000008</v>
      </c>
      <c r="H28" s="756">
        <f t="shared" ref="H28:I28" si="0">H29+H30</f>
        <v>217830.44</v>
      </c>
      <c r="I28" s="756">
        <f t="shared" si="0"/>
        <v>15500</v>
      </c>
      <c r="J28" s="259"/>
      <c r="L28" s="780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2"/>
    </row>
    <row r="29" spans="1:25" ht="23.1" customHeight="1">
      <c r="A29" s="903"/>
      <c r="C29" s="258"/>
      <c r="D29" s="751" t="s">
        <v>192</v>
      </c>
      <c r="E29" s="752" t="s">
        <v>374</v>
      </c>
      <c r="F29" s="753">
        <v>287330.44</v>
      </c>
      <c r="G29" s="753">
        <f>22330.44+14000</f>
        <v>36330.44</v>
      </c>
      <c r="H29" s="753">
        <v>216330.44</v>
      </c>
      <c r="I29" s="753">
        <v>14000</v>
      </c>
      <c r="J29" s="259"/>
      <c r="L29" s="780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2"/>
    </row>
    <row r="30" spans="1:25" ht="23.1" customHeight="1">
      <c r="A30" s="903"/>
      <c r="C30" s="258"/>
      <c r="D30" s="749" t="s">
        <v>194</v>
      </c>
      <c r="E30" s="750" t="s">
        <v>375</v>
      </c>
      <c r="F30" s="754">
        <v>10548.22</v>
      </c>
      <c r="G30" s="754">
        <f>49281.68-22330.44-14000</f>
        <v>12951.240000000002</v>
      </c>
      <c r="H30" s="755">
        <v>1500</v>
      </c>
      <c r="I30" s="755">
        <v>1500</v>
      </c>
      <c r="J30" s="259"/>
      <c r="L30" s="780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782"/>
    </row>
    <row r="31" spans="1:25" ht="23.1" customHeight="1">
      <c r="A31" s="903"/>
      <c r="C31" s="258"/>
      <c r="D31" s="540" t="s">
        <v>362</v>
      </c>
      <c r="E31" s="541" t="s">
        <v>376</v>
      </c>
      <c r="F31" s="196">
        <v>0</v>
      </c>
      <c r="G31" s="196">
        <v>0</v>
      </c>
      <c r="H31" s="196">
        <v>0</v>
      </c>
      <c r="I31" s="196">
        <v>0</v>
      </c>
      <c r="J31" s="259"/>
      <c r="L31" s="780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2"/>
    </row>
    <row r="32" spans="1:25" ht="23.1" customHeight="1">
      <c r="A32" s="903"/>
      <c r="C32" s="258"/>
      <c r="D32" s="540" t="s">
        <v>364</v>
      </c>
      <c r="E32" s="541" t="s">
        <v>377</v>
      </c>
      <c r="F32" s="196">
        <v>60</v>
      </c>
      <c r="G32" s="196">
        <v>0</v>
      </c>
      <c r="H32" s="196">
        <v>120</v>
      </c>
      <c r="I32" s="196">
        <v>0</v>
      </c>
      <c r="J32" s="259"/>
      <c r="L32" s="783"/>
      <c r="M32" s="784"/>
      <c r="N32" s="784"/>
      <c r="O32" s="784"/>
      <c r="P32" s="784"/>
      <c r="Q32" s="784"/>
      <c r="R32" s="784"/>
      <c r="S32" s="784"/>
      <c r="T32" s="784"/>
      <c r="U32" s="784"/>
      <c r="V32" s="784"/>
      <c r="W32" s="784"/>
      <c r="X32" s="784"/>
      <c r="Y32" s="785"/>
    </row>
    <row r="33" spans="1:25" ht="23.1" customHeight="1">
      <c r="A33" s="903"/>
      <c r="C33" s="258"/>
      <c r="D33" s="540" t="s">
        <v>366</v>
      </c>
      <c r="E33" s="541" t="s">
        <v>378</v>
      </c>
      <c r="F33" s="196">
        <v>3947.51</v>
      </c>
      <c r="G33" s="196">
        <v>3800</v>
      </c>
      <c r="H33" s="196">
        <v>3755.4</v>
      </c>
      <c r="I33" s="196">
        <v>3800</v>
      </c>
      <c r="J33" s="259"/>
      <c r="L33" s="783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5"/>
    </row>
    <row r="34" spans="1:25" ht="23.1" customHeight="1">
      <c r="A34" s="903"/>
      <c r="C34" s="258"/>
      <c r="D34" s="540" t="s">
        <v>368</v>
      </c>
      <c r="E34" s="541" t="s">
        <v>379</v>
      </c>
      <c r="F34" s="196">
        <v>118057.11</v>
      </c>
      <c r="G34" s="196">
        <v>129756.26</v>
      </c>
      <c r="H34" s="196">
        <v>47761.78</v>
      </c>
      <c r="I34" s="196">
        <v>165759.67000000001</v>
      </c>
      <c r="J34" s="259"/>
      <c r="L34" s="780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2"/>
    </row>
    <row r="35" spans="1:25" ht="23.1" customHeight="1">
      <c r="A35" s="903"/>
      <c r="C35" s="258"/>
      <c r="D35" s="570"/>
      <c r="E35" s="369"/>
      <c r="F35" s="571"/>
      <c r="G35" s="571"/>
      <c r="H35" s="572"/>
      <c r="I35" s="573"/>
      <c r="J35" s="259"/>
      <c r="L35" s="780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2"/>
    </row>
    <row r="36" spans="1:25" ht="23.1" customHeight="1" thickBot="1">
      <c r="A36" s="903"/>
      <c r="C36" s="258"/>
      <c r="D36" s="574" t="s">
        <v>380</v>
      </c>
      <c r="E36" s="575"/>
      <c r="F36" s="576">
        <f>F25+F16</f>
        <v>496784.39</v>
      </c>
      <c r="G36" s="576">
        <f>G25+G16</f>
        <v>240386.43</v>
      </c>
      <c r="H36" s="576">
        <f>H25+H16</f>
        <v>339652.32</v>
      </c>
      <c r="I36" s="576">
        <f>I25+I16</f>
        <v>250684.28000000003</v>
      </c>
      <c r="J36" s="259"/>
      <c r="L36" s="780"/>
      <c r="M36" s="959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2"/>
    </row>
    <row r="37" spans="1:25" ht="23.1" customHeight="1" thickBot="1">
      <c r="A37" s="903"/>
      <c r="C37" s="279"/>
      <c r="D37" s="1148"/>
      <c r="E37" s="1148"/>
      <c r="F37" s="1148"/>
      <c r="G37" s="1148"/>
      <c r="H37" s="1148"/>
      <c r="I37" s="280"/>
      <c r="J37" s="281"/>
      <c r="L37" s="789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1"/>
    </row>
    <row r="38" spans="1:25" ht="23.1" customHeight="1">
      <c r="A38" s="24"/>
      <c r="K38" s="24" t="s">
        <v>140</v>
      </c>
    </row>
    <row r="39" spans="1:25" ht="12.75">
      <c r="A39" s="24"/>
      <c r="D39" s="20" t="s">
        <v>39</v>
      </c>
      <c r="I39" s="23" t="s">
        <v>381</v>
      </c>
    </row>
    <row r="40" spans="1:25" ht="12.75">
      <c r="A40" s="24"/>
      <c r="D40" s="20" t="s">
        <v>41</v>
      </c>
    </row>
    <row r="41" spans="1:25" ht="12.75">
      <c r="A41" s="24"/>
      <c r="D41" s="20" t="s">
        <v>42</v>
      </c>
    </row>
    <row r="42" spans="1:25" ht="12.75">
      <c r="A42" s="24"/>
      <c r="D42" s="20" t="s">
        <v>43</v>
      </c>
    </row>
    <row r="43" spans="1:25" ht="12.75">
      <c r="A43" s="24"/>
      <c r="D43" s="20" t="s">
        <v>44</v>
      </c>
    </row>
    <row r="44" spans="1:25" ht="66" customHeight="1">
      <c r="A44" s="24"/>
      <c r="F44" s="577"/>
      <c r="G44" s="577"/>
      <c r="H44" s="578"/>
      <c r="I44" s="578"/>
    </row>
    <row r="45" spans="1:25" ht="23.1" customHeight="1">
      <c r="A45" s="24"/>
    </row>
    <row r="46" spans="1:25" ht="23.1" customHeight="1">
      <c r="A46" s="24"/>
    </row>
    <row r="47" spans="1:25" ht="23.1" customHeight="1">
      <c r="A47" s="24"/>
    </row>
    <row r="48" spans="1:25" ht="23.1" customHeight="1">
      <c r="A48" s="24"/>
    </row>
    <row r="49" spans="1:1" ht="23.1" customHeight="1">
      <c r="A49" s="24"/>
    </row>
    <row r="50" spans="1:1" ht="23.1" customHeight="1">
      <c r="A50" s="24"/>
    </row>
    <row r="51" spans="1:1" ht="23.1" customHeight="1">
      <c r="A51" s="24"/>
    </row>
    <row r="52" spans="1:1" ht="23.1" customHeight="1">
      <c r="A52" s="24"/>
    </row>
    <row r="53" spans="1:1" ht="23.1" customHeight="1">
      <c r="A53" s="24"/>
    </row>
    <row r="54" spans="1:1" ht="23.1" customHeight="1">
      <c r="A54" s="24"/>
    </row>
    <row r="55" spans="1:1" ht="23.1" customHeight="1">
      <c r="A55" s="24"/>
    </row>
    <row r="56" spans="1:1" ht="23.1" customHeight="1">
      <c r="A56" s="24"/>
    </row>
    <row r="57" spans="1:1" ht="23.1" customHeight="1">
      <c r="A57" s="24"/>
    </row>
    <row r="58" spans="1:1" ht="23.1" customHeight="1">
      <c r="A58" s="24"/>
    </row>
    <row r="59" spans="1:1" ht="23.1" customHeight="1">
      <c r="A59" s="24"/>
    </row>
    <row r="60" spans="1:1" ht="23.1" customHeight="1">
      <c r="A60" s="24"/>
    </row>
    <row r="61" spans="1:1" ht="23.1" customHeight="1">
      <c r="A61" s="24"/>
    </row>
    <row r="62" spans="1:1" ht="23.1" customHeight="1">
      <c r="A62" s="24"/>
    </row>
    <row r="63" spans="1:1" ht="23.1" customHeight="1">
      <c r="A63" s="24"/>
    </row>
    <row r="65" spans="1:1" ht="23.1" customHeight="1">
      <c r="A65" s="24"/>
    </row>
    <row r="66" spans="1:1" ht="23.1" customHeight="1">
      <c r="A66" s="24"/>
    </row>
    <row r="67" spans="1:1" ht="23.1" customHeight="1">
      <c r="A67" s="24"/>
    </row>
    <row r="68" spans="1:1" ht="23.1" customHeight="1">
      <c r="A68" s="24"/>
    </row>
    <row r="69" spans="1:1" ht="23.1" customHeight="1">
      <c r="A69" s="24"/>
    </row>
  </sheetData>
  <sheetProtection algorithmName="SHA-512" hashValue="ZQPu3wv88qL2gY6FRCUFolSTr01rqN13r3IcmBOdU4/zAmJ2wMAZjqp/xvGTtnm1a6jnNXt2c8bYQ+563sS4fw==" saltValue="mnnpu36nips5WdxtH+IQfQ==" spinCount="100000" sheet="1" objects="1" scenarios="1"/>
  <mergeCells count="3">
    <mergeCell ref="I6:I7"/>
    <mergeCell ref="E9:I9"/>
    <mergeCell ref="D37:H37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portrait" horizontalDpi="4294967292" verticalDpi="4294967292"/>
  <ignoredErrors>
    <ignoredError sqref="H28:I28 F28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Y70"/>
  <sheetViews>
    <sheetView topLeftCell="B29" zoomScale="85" zoomScaleNormal="85" workbookViewId="0">
      <selection activeCell="I48" sqref="I48"/>
    </sheetView>
  </sheetViews>
  <sheetFormatPr baseColWidth="10" defaultColWidth="10.6640625" defaultRowHeight="23.1" customHeight="1"/>
  <cols>
    <col min="1" max="1" width="10.6640625" style="149"/>
    <col min="2" max="2" width="4.109375" style="24" bestFit="1" customWidth="1"/>
    <col min="3" max="3" width="3.109375" style="24" customWidth="1"/>
    <col min="4" max="4" width="13.5546875" style="24" customWidth="1"/>
    <col min="5" max="5" width="76.6640625" style="24" customWidth="1"/>
    <col min="6" max="9" width="18.33203125" style="24" customWidth="1"/>
    <col min="10" max="10" width="3.33203125" style="24" customWidth="1"/>
    <col min="11" max="16384" width="10.6640625" style="24"/>
  </cols>
  <sheetData>
    <row r="1" spans="1:25" ht="23.1" customHeight="1">
      <c r="A1" s="369"/>
    </row>
    <row r="2" spans="1:25" ht="23.1" customHeight="1">
      <c r="A2" s="369"/>
      <c r="E2" s="347" t="str">
        <f>_GENERAL!D2</f>
        <v>Área de Presidencia, Hacienda y Modernización</v>
      </c>
    </row>
    <row r="3" spans="1:25" ht="23.1" customHeight="1">
      <c r="A3" s="369"/>
      <c r="E3" s="347" t="str">
        <f>_GENERAL!D3</f>
        <v>Dirección Insular de Hacienda</v>
      </c>
    </row>
    <row r="4" spans="1:25" ht="23.1" customHeight="1" thickBot="1">
      <c r="A4" s="369"/>
      <c r="B4" s="24" t="s">
        <v>100</v>
      </c>
    </row>
    <row r="5" spans="1:25" ht="9" customHeight="1">
      <c r="A5" s="975"/>
      <c r="C5" s="255"/>
      <c r="D5" s="256"/>
      <c r="E5" s="256"/>
      <c r="F5" s="256"/>
      <c r="G5" s="256"/>
      <c r="H5" s="256"/>
      <c r="I5" s="256"/>
      <c r="J5" s="257"/>
      <c r="L5" s="757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9"/>
    </row>
    <row r="6" spans="1:25" ht="30" customHeight="1">
      <c r="A6" s="975"/>
      <c r="C6" s="258"/>
      <c r="D6" s="1" t="s">
        <v>2</v>
      </c>
      <c r="I6" s="1140">
        <f>ejercicio</f>
        <v>2022</v>
      </c>
      <c r="J6" s="259"/>
      <c r="L6" s="174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7"/>
    </row>
    <row r="7" spans="1:25" ht="30" customHeight="1">
      <c r="A7" s="975"/>
      <c r="C7" s="258"/>
      <c r="D7" s="1" t="s">
        <v>3</v>
      </c>
      <c r="I7" s="1140"/>
      <c r="J7" s="259"/>
      <c r="L7" s="178"/>
      <c r="M7" s="175" t="s">
        <v>101</v>
      </c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0"/>
    </row>
    <row r="8" spans="1:25" ht="30" customHeight="1">
      <c r="A8" s="975"/>
      <c r="C8" s="258"/>
      <c r="D8" s="261"/>
      <c r="I8" s="228"/>
      <c r="J8" s="259"/>
      <c r="L8" s="777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9"/>
    </row>
    <row r="9" spans="1:25" s="262" customFormat="1" ht="30" customHeight="1">
      <c r="A9" s="900" t="s">
        <v>46</v>
      </c>
      <c r="B9" s="369"/>
      <c r="C9" s="966"/>
      <c r="D9" s="21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967"/>
      <c r="K9" s="369"/>
      <c r="L9" s="780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2"/>
    </row>
    <row r="10" spans="1:25" ht="6.95" customHeight="1">
      <c r="A10" s="975"/>
      <c r="C10" s="258"/>
      <c r="J10" s="259"/>
      <c r="L10" s="780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2"/>
    </row>
    <row r="11" spans="1:25" s="28" customFormat="1" ht="30" customHeight="1">
      <c r="A11" s="901"/>
      <c r="C11" s="10"/>
      <c r="D11" s="4" t="s">
        <v>382</v>
      </c>
      <c r="E11" s="4"/>
      <c r="F11" s="4"/>
      <c r="G11" s="4"/>
      <c r="H11" s="4"/>
      <c r="I11" s="4"/>
      <c r="J11" s="263"/>
      <c r="L11" s="780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2"/>
    </row>
    <row r="12" spans="1:25" s="28" customFormat="1" ht="30" customHeight="1">
      <c r="A12" s="901"/>
      <c r="C12" s="10"/>
      <c r="J12" s="263"/>
      <c r="L12" s="780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2"/>
    </row>
    <row r="13" spans="1:25" ht="23.1" customHeight="1">
      <c r="A13" s="901"/>
      <c r="C13" s="258"/>
      <c r="D13" s="589"/>
      <c r="E13" s="590"/>
      <c r="F13" s="830" t="s">
        <v>184</v>
      </c>
      <c r="G13" s="831" t="s">
        <v>185</v>
      </c>
      <c r="H13" s="832" t="s">
        <v>186</v>
      </c>
      <c r="I13" s="833" t="s">
        <v>187</v>
      </c>
      <c r="J13" s="259"/>
      <c r="L13" s="780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2"/>
    </row>
    <row r="14" spans="1:25" ht="23.1" customHeight="1">
      <c r="A14" s="902"/>
      <c r="C14" s="258"/>
      <c r="D14" s="591" t="s">
        <v>383</v>
      </c>
      <c r="E14" s="562"/>
      <c r="F14" s="834">
        <f>ejercicio-2</f>
        <v>2020</v>
      </c>
      <c r="G14" s="835">
        <f>ejercicio-1</f>
        <v>2021</v>
      </c>
      <c r="H14" s="836">
        <f>ejercicio-1</f>
        <v>2021</v>
      </c>
      <c r="I14" s="837">
        <f>ejercicio</f>
        <v>2022</v>
      </c>
      <c r="J14" s="259"/>
      <c r="L14" s="780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</row>
    <row r="15" spans="1:25" ht="23.1" customHeight="1">
      <c r="A15" s="903"/>
      <c r="C15" s="258"/>
      <c r="D15" s="579"/>
      <c r="E15" s="538"/>
      <c r="F15" s="539"/>
      <c r="G15" s="539"/>
      <c r="H15" s="539"/>
      <c r="I15" s="580"/>
      <c r="J15" s="259"/>
      <c r="L15" s="780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2"/>
    </row>
    <row r="16" spans="1:25" ht="23.1" customHeight="1">
      <c r="A16" s="903"/>
      <c r="C16" s="258"/>
      <c r="D16" s="581" t="s">
        <v>188</v>
      </c>
      <c r="E16" s="568" t="s">
        <v>384</v>
      </c>
      <c r="F16" s="592">
        <f>+F17+F24+F25</f>
        <v>154521.12</v>
      </c>
      <c r="G16" s="592">
        <f>+G17+G24+G25</f>
        <v>135519.10999999999</v>
      </c>
      <c r="H16" s="592">
        <f>+H17+H24+H25</f>
        <v>170141.79</v>
      </c>
      <c r="I16" s="592">
        <f>+I17+I24+I25</f>
        <v>166341.96</v>
      </c>
      <c r="J16" s="259"/>
      <c r="L16" s="780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2"/>
    </row>
    <row r="17" spans="1:25" ht="23.1" customHeight="1">
      <c r="A17" s="903"/>
      <c r="C17" s="258"/>
      <c r="D17" s="582" t="s">
        <v>385</v>
      </c>
      <c r="E17" s="541" t="s">
        <v>386</v>
      </c>
      <c r="F17" s="593">
        <f>+F18+F21+F22+F23</f>
        <v>141535.51</v>
      </c>
      <c r="G17" s="593">
        <f>+G18+G21+G22+G23</f>
        <v>126454.47999999998</v>
      </c>
      <c r="H17" s="593">
        <f>+H18+H21+H22+H23</f>
        <v>161077.16</v>
      </c>
      <c r="I17" s="593">
        <f>+I18+I21+I22+I23</f>
        <v>161077.16</v>
      </c>
      <c r="J17" s="259"/>
      <c r="L17" s="780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2"/>
    </row>
    <row r="18" spans="1:25" ht="23.1" customHeight="1">
      <c r="A18" s="903"/>
      <c r="C18" s="258"/>
      <c r="D18" s="582" t="s">
        <v>356</v>
      </c>
      <c r="E18" s="541" t="s">
        <v>387</v>
      </c>
      <c r="F18" s="593">
        <f>SUM(F19:F20)</f>
        <v>164141.44</v>
      </c>
      <c r="G18" s="593">
        <f>SUM(G19:G20)</f>
        <v>164141.44</v>
      </c>
      <c r="H18" s="593">
        <f>SUM(H19:H20)</f>
        <v>164141.44</v>
      </c>
      <c r="I18" s="594">
        <f>SUM(I19:I20)</f>
        <v>164141.44</v>
      </c>
      <c r="J18" s="259"/>
      <c r="L18" s="780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2"/>
    </row>
    <row r="19" spans="1:25" ht="23.1" customHeight="1">
      <c r="A19" s="903"/>
      <c r="C19" s="258"/>
      <c r="D19" s="583" t="s">
        <v>190</v>
      </c>
      <c r="E19" s="584" t="s">
        <v>387</v>
      </c>
      <c r="F19" s="595">
        <v>164141.44</v>
      </c>
      <c r="G19" s="595">
        <v>164141.44</v>
      </c>
      <c r="H19" s="595">
        <v>164141.44</v>
      </c>
      <c r="I19" s="595">
        <v>164141.44</v>
      </c>
      <c r="J19" s="259"/>
      <c r="L19" s="780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2"/>
    </row>
    <row r="20" spans="1:25" ht="23.1" customHeight="1">
      <c r="A20" s="903"/>
      <c r="C20" s="258"/>
      <c r="D20" s="585" t="s">
        <v>202</v>
      </c>
      <c r="E20" s="586" t="s">
        <v>388</v>
      </c>
      <c r="F20" s="596">
        <v>0</v>
      </c>
      <c r="G20" s="596">
        <v>0</v>
      </c>
      <c r="H20" s="596">
        <v>0</v>
      </c>
      <c r="I20" s="596">
        <v>0</v>
      </c>
      <c r="J20" s="259"/>
      <c r="L20" s="780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2"/>
    </row>
    <row r="21" spans="1:25" ht="23.1" customHeight="1">
      <c r="A21" s="903"/>
      <c r="C21" s="258"/>
      <c r="D21" s="582" t="s">
        <v>358</v>
      </c>
      <c r="E21" s="541" t="s">
        <v>389</v>
      </c>
      <c r="F21" s="597">
        <v>24896.99</v>
      </c>
      <c r="G21" s="597">
        <v>24896.99</v>
      </c>
      <c r="H21" s="597">
        <v>24896.99</v>
      </c>
      <c r="I21" s="597">
        <v>24896.99</v>
      </c>
      <c r="J21" s="259"/>
      <c r="L21" s="780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2"/>
    </row>
    <row r="22" spans="1:25" ht="23.1" customHeight="1">
      <c r="A22" s="903"/>
      <c r="C22" s="258"/>
      <c r="D22" s="582" t="s">
        <v>360</v>
      </c>
      <c r="E22" s="541" t="s">
        <v>390</v>
      </c>
      <c r="F22" s="597">
        <v>-62977.31</v>
      </c>
      <c r="G22" s="597">
        <v>-62645.85</v>
      </c>
      <c r="H22" s="597">
        <v>-47502.92</v>
      </c>
      <c r="I22" s="597">
        <v>-27961.27</v>
      </c>
      <c r="J22" s="259"/>
      <c r="L22" s="780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2"/>
    </row>
    <row r="23" spans="1:25" ht="23.1" customHeight="1">
      <c r="A23" s="903"/>
      <c r="C23" s="258"/>
      <c r="D23" s="582" t="s">
        <v>362</v>
      </c>
      <c r="E23" s="541" t="s">
        <v>391</v>
      </c>
      <c r="F23" s="597">
        <v>15474.39</v>
      </c>
      <c r="G23" s="597">
        <v>61.9</v>
      </c>
      <c r="H23" s="597">
        <v>19541.650000000001</v>
      </c>
      <c r="I23" s="597">
        <v>0</v>
      </c>
      <c r="J23" s="259"/>
      <c r="L23" s="780"/>
      <c r="M23" s="781"/>
      <c r="N23" s="781"/>
      <c r="O23" s="781"/>
      <c r="P23" s="781"/>
      <c r="Q23" s="781"/>
      <c r="R23" s="781"/>
      <c r="S23" s="781"/>
      <c r="T23" s="781"/>
      <c r="U23" s="781"/>
      <c r="V23" s="781"/>
      <c r="W23" s="781"/>
      <c r="X23" s="781"/>
      <c r="Y23" s="782"/>
    </row>
    <row r="24" spans="1:25" ht="23.1" customHeight="1">
      <c r="A24" s="903"/>
      <c r="C24" s="258"/>
      <c r="D24" s="582" t="s">
        <v>392</v>
      </c>
      <c r="E24" s="541" t="s">
        <v>393</v>
      </c>
      <c r="F24" s="597">
        <v>0</v>
      </c>
      <c r="G24" s="597">
        <v>0</v>
      </c>
      <c r="H24" s="597">
        <v>0</v>
      </c>
      <c r="I24" s="597">
        <v>0</v>
      </c>
      <c r="J24" s="259"/>
      <c r="L24" s="780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2"/>
    </row>
    <row r="25" spans="1:25" ht="23.1" customHeight="1">
      <c r="A25" s="903"/>
      <c r="C25" s="258"/>
      <c r="D25" s="582" t="s">
        <v>394</v>
      </c>
      <c r="E25" s="541" t="s">
        <v>395</v>
      </c>
      <c r="F25" s="597">
        <v>12985.61</v>
      </c>
      <c r="G25" s="597">
        <v>9064.6299999999992</v>
      </c>
      <c r="H25" s="597">
        <v>9064.6299999999992</v>
      </c>
      <c r="I25" s="597">
        <v>5264.7999999999993</v>
      </c>
      <c r="J25" s="259"/>
      <c r="L25" s="1135"/>
      <c r="M25" s="781"/>
      <c r="N25" s="781"/>
      <c r="O25" s="781"/>
      <c r="P25" s="781"/>
      <c r="Q25" s="781"/>
      <c r="R25" s="781"/>
      <c r="S25" s="781"/>
      <c r="T25" s="781"/>
      <c r="U25" s="781"/>
      <c r="V25" s="781"/>
      <c r="W25" s="781"/>
      <c r="X25" s="781"/>
      <c r="Y25" s="782"/>
    </row>
    <row r="26" spans="1:25" ht="23.1" customHeight="1">
      <c r="A26" s="903"/>
      <c r="C26" s="258"/>
      <c r="D26" s="587"/>
      <c r="E26" s="369"/>
      <c r="F26" s="598"/>
      <c r="G26" s="598"/>
      <c r="H26" s="598"/>
      <c r="I26" s="599"/>
      <c r="J26" s="259"/>
      <c r="L26" s="780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2"/>
    </row>
    <row r="27" spans="1:25" ht="23.1" customHeight="1">
      <c r="A27" s="903"/>
      <c r="C27" s="258"/>
      <c r="D27" s="581" t="s">
        <v>396</v>
      </c>
      <c r="E27" s="568" t="s">
        <v>397</v>
      </c>
      <c r="F27" s="592">
        <f>F28+F29+F35+F36+F39</f>
        <v>39867.32</v>
      </c>
      <c r="G27" s="592">
        <f>G28+G29+G35+G36+G39</f>
        <v>39867.32</v>
      </c>
      <c r="H27" s="592">
        <f>H28+H29+H35+H36+H39</f>
        <v>39867.32</v>
      </c>
      <c r="I27" s="592">
        <f>I28+I29+I35+I36+I39</f>
        <v>39867.32</v>
      </c>
      <c r="J27" s="259"/>
      <c r="L27" s="780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1"/>
      <c r="Y27" s="782"/>
    </row>
    <row r="28" spans="1:25" ht="23.1" customHeight="1">
      <c r="A28" s="903"/>
      <c r="C28" s="258"/>
      <c r="D28" s="582" t="s">
        <v>356</v>
      </c>
      <c r="E28" s="541" t="s">
        <v>398</v>
      </c>
      <c r="F28" s="597">
        <v>34726.519999999997</v>
      </c>
      <c r="G28" s="597">
        <v>34726.519999999997</v>
      </c>
      <c r="H28" s="597">
        <f>+F28</f>
        <v>34726.519999999997</v>
      </c>
      <c r="I28" s="600">
        <f>+F28</f>
        <v>34726.519999999997</v>
      </c>
      <c r="J28" s="259"/>
      <c r="L28" s="780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2"/>
    </row>
    <row r="29" spans="1:25" ht="23.1" customHeight="1">
      <c r="A29" s="903"/>
      <c r="C29" s="258"/>
      <c r="D29" s="582" t="s">
        <v>358</v>
      </c>
      <c r="E29" s="541" t="s">
        <v>399</v>
      </c>
      <c r="F29" s="593">
        <f>SUM(F30:F32)</f>
        <v>5140.8</v>
      </c>
      <c r="G29" s="593">
        <f>SUM(G30:G32)</f>
        <v>5140.8</v>
      </c>
      <c r="H29" s="593">
        <f>SUM(H30:H32)</f>
        <v>5140.8</v>
      </c>
      <c r="I29" s="593">
        <f>SUM(I30:I32)</f>
        <v>5140.8</v>
      </c>
      <c r="J29" s="259"/>
      <c r="L29" s="780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2"/>
    </row>
    <row r="30" spans="1:25" ht="23.1" customHeight="1">
      <c r="A30" s="903"/>
      <c r="C30" s="258"/>
      <c r="D30" s="585" t="s">
        <v>190</v>
      </c>
      <c r="E30" s="549" t="s">
        <v>400</v>
      </c>
      <c r="F30" s="596">
        <v>0</v>
      </c>
      <c r="G30" s="596">
        <v>0</v>
      </c>
      <c r="H30" s="596">
        <v>0</v>
      </c>
      <c r="I30" s="596">
        <v>0</v>
      </c>
      <c r="J30" s="259"/>
      <c r="L30" s="783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5"/>
    </row>
    <row r="31" spans="1:25" ht="23.1" customHeight="1">
      <c r="A31" s="903"/>
      <c r="C31" s="258"/>
      <c r="D31" s="585" t="s">
        <v>202</v>
      </c>
      <c r="E31" s="549" t="s">
        <v>401</v>
      </c>
      <c r="F31" s="596">
        <v>0</v>
      </c>
      <c r="G31" s="596">
        <v>0</v>
      </c>
      <c r="H31" s="596">
        <v>0</v>
      </c>
      <c r="I31" s="596">
        <v>0</v>
      </c>
      <c r="J31" s="259"/>
      <c r="L31" s="783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5"/>
    </row>
    <row r="32" spans="1:25" ht="23.1" customHeight="1">
      <c r="A32" s="903"/>
      <c r="C32" s="258"/>
      <c r="D32" s="585" t="s">
        <v>204</v>
      </c>
      <c r="E32" s="549" t="s">
        <v>402</v>
      </c>
      <c r="F32" s="842">
        <f>SUM(F33:F34)</f>
        <v>5140.8</v>
      </c>
      <c r="G32" s="842">
        <f t="shared" ref="G32:I32" si="0">SUM(G33:G34)</f>
        <v>5140.8</v>
      </c>
      <c r="H32" s="842">
        <f t="shared" si="0"/>
        <v>5140.8</v>
      </c>
      <c r="I32" s="842">
        <f t="shared" si="0"/>
        <v>5140.8</v>
      </c>
      <c r="J32" s="259"/>
      <c r="L32" s="780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782"/>
    </row>
    <row r="33" spans="1:25" ht="23.1" customHeight="1">
      <c r="A33" s="903"/>
      <c r="C33" s="258"/>
      <c r="D33" s="839" t="s">
        <v>192</v>
      </c>
      <c r="E33" s="840" t="s">
        <v>403</v>
      </c>
      <c r="F33" s="841">
        <v>0</v>
      </c>
      <c r="G33" s="841">
        <v>0</v>
      </c>
      <c r="H33" s="841">
        <v>0</v>
      </c>
      <c r="I33" s="841">
        <v>0</v>
      </c>
      <c r="J33" s="259"/>
      <c r="L33" s="780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2"/>
    </row>
    <row r="34" spans="1:25" ht="23.1" customHeight="1">
      <c r="A34" s="903"/>
      <c r="C34" s="258"/>
      <c r="D34" s="749" t="s">
        <v>194</v>
      </c>
      <c r="E34" s="750" t="s">
        <v>404</v>
      </c>
      <c r="F34" s="754">
        <v>5140.8</v>
      </c>
      <c r="G34" s="754">
        <v>5140.8</v>
      </c>
      <c r="H34" s="755">
        <v>5140.8</v>
      </c>
      <c r="I34" s="755">
        <v>5140.8</v>
      </c>
      <c r="J34" s="259"/>
      <c r="L34" s="780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2"/>
    </row>
    <row r="35" spans="1:25" ht="23.1" customHeight="1">
      <c r="A35" s="903"/>
      <c r="C35" s="258"/>
      <c r="D35" s="582" t="s">
        <v>360</v>
      </c>
      <c r="E35" s="541" t="s">
        <v>405</v>
      </c>
      <c r="F35" s="597">
        <v>0</v>
      </c>
      <c r="G35" s="597">
        <v>0</v>
      </c>
      <c r="H35" s="597">
        <v>0</v>
      </c>
      <c r="I35" s="597">
        <v>0</v>
      </c>
      <c r="J35" s="259"/>
      <c r="L35" s="780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2"/>
    </row>
    <row r="36" spans="1:25" ht="23.1" customHeight="1">
      <c r="A36" s="903"/>
      <c r="C36" s="258"/>
      <c r="D36" s="582" t="s">
        <v>362</v>
      </c>
      <c r="E36" s="541" t="s">
        <v>406</v>
      </c>
      <c r="F36" s="593">
        <f>SUM(F37:F38)</f>
        <v>0</v>
      </c>
      <c r="G36" s="593">
        <f>SUM(G37:G38)</f>
        <v>0</v>
      </c>
      <c r="H36" s="593">
        <f>SUM(H37:H38)</f>
        <v>0</v>
      </c>
      <c r="I36" s="593">
        <f>SUM(I37:I38)</f>
        <v>0</v>
      </c>
      <c r="J36" s="259"/>
      <c r="L36" s="780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1"/>
      <c r="X36" s="781"/>
      <c r="Y36" s="782"/>
    </row>
    <row r="37" spans="1:25" ht="23.1" customHeight="1">
      <c r="A37" s="903"/>
      <c r="C37" s="258"/>
      <c r="D37" s="751" t="s">
        <v>192</v>
      </c>
      <c r="E37" s="752" t="s">
        <v>407</v>
      </c>
      <c r="F37" s="753"/>
      <c r="G37" s="753"/>
      <c r="H37" s="753"/>
      <c r="I37" s="753"/>
      <c r="J37" s="259"/>
      <c r="L37" s="780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1"/>
      <c r="X37" s="781"/>
      <c r="Y37" s="782"/>
    </row>
    <row r="38" spans="1:25" ht="23.1" customHeight="1">
      <c r="A38" s="903"/>
      <c r="C38" s="258"/>
      <c r="D38" s="749" t="s">
        <v>194</v>
      </c>
      <c r="E38" s="750" t="s">
        <v>408</v>
      </c>
      <c r="F38" s="754"/>
      <c r="G38" s="754"/>
      <c r="H38" s="755"/>
      <c r="I38" s="755"/>
      <c r="J38" s="259"/>
      <c r="L38" s="780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2"/>
    </row>
    <row r="39" spans="1:25" ht="23.1" customHeight="1">
      <c r="A39" s="903"/>
      <c r="C39" s="258"/>
      <c r="D39" s="582" t="s">
        <v>364</v>
      </c>
      <c r="E39" s="541" t="s">
        <v>409</v>
      </c>
      <c r="F39" s="597">
        <v>0</v>
      </c>
      <c r="G39" s="597">
        <v>0</v>
      </c>
      <c r="H39" s="597">
        <v>0</v>
      </c>
      <c r="I39" s="597">
        <v>0</v>
      </c>
      <c r="J39" s="259"/>
      <c r="L39" s="780"/>
      <c r="M39" s="781"/>
      <c r="N39" s="781"/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782"/>
    </row>
    <row r="40" spans="1:25" ht="23.1" customHeight="1">
      <c r="A40" s="903"/>
      <c r="C40" s="258"/>
      <c r="D40" s="588"/>
      <c r="E40" s="1"/>
      <c r="F40" s="598"/>
      <c r="G40" s="598"/>
      <c r="H40" s="598"/>
      <c r="I40" s="599"/>
      <c r="J40" s="259"/>
      <c r="L40" s="786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787"/>
      <c r="Y40" s="788"/>
    </row>
    <row r="41" spans="1:25" ht="23.1" customHeight="1">
      <c r="A41" s="903"/>
      <c r="C41" s="258"/>
      <c r="D41" s="581" t="s">
        <v>271</v>
      </c>
      <c r="E41" s="568" t="s">
        <v>410</v>
      </c>
      <c r="F41" s="592">
        <f>F42+F43+F49+F50+F51+F56</f>
        <v>302395.95</v>
      </c>
      <c r="G41" s="592">
        <f>G42+G43+G49+G50+G51+G56</f>
        <v>65000</v>
      </c>
      <c r="H41" s="592">
        <f>H42+H43+H49+H50+H51+H56</f>
        <v>129643.20999999999</v>
      </c>
      <c r="I41" s="592">
        <f>I42+I43+I49+I50+I51+I56</f>
        <v>44475</v>
      </c>
      <c r="J41" s="259"/>
      <c r="L41" s="786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7"/>
      <c r="X41" s="787"/>
      <c r="Y41" s="788"/>
    </row>
    <row r="42" spans="1:25" ht="23.1" customHeight="1">
      <c r="A42" s="903"/>
      <c r="C42" s="258"/>
      <c r="D42" s="582" t="s">
        <v>356</v>
      </c>
      <c r="E42" s="541" t="s">
        <v>411</v>
      </c>
      <c r="F42" s="597">
        <v>0</v>
      </c>
      <c r="G42" s="597">
        <v>0</v>
      </c>
      <c r="H42" s="597">
        <v>0</v>
      </c>
      <c r="I42" s="600">
        <v>0</v>
      </c>
      <c r="J42" s="259"/>
      <c r="L42" s="786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7"/>
      <c r="X42" s="787"/>
      <c r="Y42" s="788"/>
    </row>
    <row r="43" spans="1:25" ht="23.1" customHeight="1">
      <c r="A43" s="903"/>
      <c r="C43" s="258"/>
      <c r="D43" s="582" t="s">
        <v>358</v>
      </c>
      <c r="E43" s="541" t="s">
        <v>412</v>
      </c>
      <c r="F43" s="593">
        <f>SUM(F44:F46)</f>
        <v>219641.76</v>
      </c>
      <c r="G43" s="593">
        <f>SUM(G44:G46)</f>
        <v>0</v>
      </c>
      <c r="H43" s="593">
        <f>SUM(H44:H46)</f>
        <v>81975</v>
      </c>
      <c r="I43" s="593">
        <f>SUM(I44:I46)</f>
        <v>2475</v>
      </c>
      <c r="J43" s="259"/>
      <c r="L43" s="786"/>
      <c r="M43" s="787"/>
      <c r="N43" s="787"/>
      <c r="O43" s="787"/>
      <c r="P43" s="787"/>
      <c r="Q43" s="787"/>
      <c r="R43" s="787"/>
      <c r="S43" s="787"/>
      <c r="T43" s="787"/>
      <c r="U43" s="787"/>
      <c r="V43" s="787"/>
      <c r="W43" s="787"/>
      <c r="X43" s="787"/>
      <c r="Y43" s="788"/>
    </row>
    <row r="44" spans="1:25" ht="23.1" customHeight="1">
      <c r="A44" s="903"/>
      <c r="C44" s="258"/>
      <c r="D44" s="585" t="s">
        <v>190</v>
      </c>
      <c r="E44" s="549" t="s">
        <v>400</v>
      </c>
      <c r="F44" s="596">
        <v>0</v>
      </c>
      <c r="G44" s="596">
        <v>0</v>
      </c>
      <c r="H44" s="596">
        <v>0</v>
      </c>
      <c r="I44" s="596">
        <v>0</v>
      </c>
      <c r="J44" s="259"/>
      <c r="L44" s="786"/>
      <c r="M44" s="787"/>
      <c r="N44" s="787"/>
      <c r="O44" s="787"/>
      <c r="P44" s="787"/>
      <c r="Q44" s="787"/>
      <c r="R44" s="787"/>
      <c r="S44" s="787"/>
      <c r="T44" s="787"/>
      <c r="U44" s="787"/>
      <c r="V44" s="787"/>
      <c r="W44" s="787"/>
      <c r="X44" s="787"/>
      <c r="Y44" s="788"/>
    </row>
    <row r="45" spans="1:25" ht="23.1" customHeight="1">
      <c r="A45" s="903"/>
      <c r="C45" s="258"/>
      <c r="D45" s="585" t="s">
        <v>202</v>
      </c>
      <c r="E45" s="549" t="s">
        <v>401</v>
      </c>
      <c r="F45" s="596">
        <v>0</v>
      </c>
      <c r="G45" s="596">
        <v>0</v>
      </c>
      <c r="H45" s="596">
        <v>0</v>
      </c>
      <c r="I45" s="596">
        <v>0</v>
      </c>
      <c r="J45" s="259"/>
      <c r="L45" s="786"/>
      <c r="M45" s="787"/>
      <c r="N45" s="787"/>
      <c r="O45" s="787"/>
      <c r="P45" s="787"/>
      <c r="Q45" s="787"/>
      <c r="R45" s="787"/>
      <c r="S45" s="787"/>
      <c r="T45" s="787"/>
      <c r="U45" s="787"/>
      <c r="V45" s="787"/>
      <c r="W45" s="787"/>
      <c r="X45" s="787"/>
      <c r="Y45" s="788"/>
    </row>
    <row r="46" spans="1:25" ht="23.1" customHeight="1">
      <c r="A46" s="903"/>
      <c r="C46" s="258"/>
      <c r="D46" s="585" t="s">
        <v>204</v>
      </c>
      <c r="E46" s="549" t="s">
        <v>413</v>
      </c>
      <c r="F46" s="842">
        <f>SUM(F47:F48)</f>
        <v>219641.76</v>
      </c>
      <c r="G46" s="842">
        <f t="shared" ref="G46:I46" si="1">SUM(G47:G48)</f>
        <v>0</v>
      </c>
      <c r="H46" s="842">
        <f t="shared" si="1"/>
        <v>81975</v>
      </c>
      <c r="I46" s="842">
        <f t="shared" si="1"/>
        <v>2475</v>
      </c>
      <c r="J46" s="259"/>
      <c r="L46" s="786"/>
      <c r="M46" s="787"/>
      <c r="N46" s="787"/>
      <c r="O46" s="787"/>
      <c r="P46" s="787"/>
      <c r="Q46" s="787"/>
      <c r="R46" s="787"/>
      <c r="S46" s="787"/>
      <c r="T46" s="787"/>
      <c r="U46" s="787"/>
      <c r="V46" s="787"/>
      <c r="W46" s="787"/>
      <c r="X46" s="787"/>
      <c r="Y46" s="788"/>
    </row>
    <row r="47" spans="1:25" ht="23.1" customHeight="1">
      <c r="A47" s="903"/>
      <c r="C47" s="258"/>
      <c r="D47" s="839" t="s">
        <v>192</v>
      </c>
      <c r="E47" s="840" t="s">
        <v>414</v>
      </c>
      <c r="F47" s="841">
        <v>217961.76</v>
      </c>
      <c r="G47" s="841">
        <v>0</v>
      </c>
      <c r="H47" s="841">
        <v>80000</v>
      </c>
      <c r="I47" s="841">
        <v>0</v>
      </c>
      <c r="J47" s="259"/>
      <c r="L47" s="786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8"/>
    </row>
    <row r="48" spans="1:25" ht="23.1" customHeight="1">
      <c r="A48" s="903"/>
      <c r="C48" s="258"/>
      <c r="D48" s="749" t="s">
        <v>194</v>
      </c>
      <c r="E48" s="750" t="s">
        <v>415</v>
      </c>
      <c r="F48" s="754">
        <v>1680</v>
      </c>
      <c r="G48" s="754">
        <v>0</v>
      </c>
      <c r="H48" s="755">
        <v>1975</v>
      </c>
      <c r="I48" s="755">
        <v>2475</v>
      </c>
      <c r="J48" s="259"/>
      <c r="L48" s="786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7"/>
      <c r="X48" s="787"/>
      <c r="Y48" s="788"/>
    </row>
    <row r="49" spans="1:25" ht="23.1" customHeight="1">
      <c r="A49" s="903"/>
      <c r="C49" s="258"/>
      <c r="D49" s="582" t="s">
        <v>360</v>
      </c>
      <c r="E49" s="541" t="s">
        <v>416</v>
      </c>
      <c r="F49" s="597">
        <v>0</v>
      </c>
      <c r="G49" s="597">
        <v>0</v>
      </c>
      <c r="H49" s="597">
        <v>0</v>
      </c>
      <c r="I49" s="597">
        <v>0</v>
      </c>
      <c r="J49" s="259"/>
      <c r="L49" s="786"/>
      <c r="M49" s="787"/>
      <c r="N49" s="787"/>
      <c r="O49" s="787"/>
      <c r="P49" s="787"/>
      <c r="Q49" s="787"/>
      <c r="R49" s="787"/>
      <c r="S49" s="787"/>
      <c r="T49" s="787"/>
      <c r="U49" s="787"/>
      <c r="V49" s="787"/>
      <c r="W49" s="787"/>
      <c r="X49" s="787"/>
      <c r="Y49" s="788"/>
    </row>
    <row r="50" spans="1:25" ht="23.1" customHeight="1">
      <c r="A50" s="903"/>
      <c r="C50" s="258"/>
      <c r="D50" s="582" t="s">
        <v>362</v>
      </c>
      <c r="E50" s="541" t="s">
        <v>417</v>
      </c>
      <c r="F50" s="597">
        <v>0</v>
      </c>
      <c r="G50" s="597">
        <v>0</v>
      </c>
      <c r="H50" s="597">
        <v>0</v>
      </c>
      <c r="I50" s="597">
        <v>0</v>
      </c>
      <c r="J50" s="259"/>
      <c r="L50" s="786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787"/>
      <c r="Y50" s="788"/>
    </row>
    <row r="51" spans="1:25" ht="23.1" customHeight="1">
      <c r="A51" s="903"/>
      <c r="C51" s="258"/>
      <c r="D51" s="582" t="s">
        <v>364</v>
      </c>
      <c r="E51" s="541" t="s">
        <v>418</v>
      </c>
      <c r="F51" s="593">
        <f>F52+SUM(F53:F53)</f>
        <v>82754.19</v>
      </c>
      <c r="G51" s="593">
        <f>G52+SUM(G53:G53)</f>
        <v>65000</v>
      </c>
      <c r="H51" s="593">
        <f>H52+SUM(H53:H53)</f>
        <v>47668.21</v>
      </c>
      <c r="I51" s="594">
        <f>I52+SUM(I53:I53)</f>
        <v>42000</v>
      </c>
      <c r="J51" s="259"/>
      <c r="L51" s="786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787"/>
      <c r="Y51" s="788"/>
    </row>
    <row r="52" spans="1:25" ht="23.1" customHeight="1">
      <c r="A52" s="903"/>
      <c r="C52" s="258"/>
      <c r="D52" s="585" t="s">
        <v>190</v>
      </c>
      <c r="E52" s="549" t="s">
        <v>419</v>
      </c>
      <c r="F52" s="596">
        <v>3516.68</v>
      </c>
      <c r="G52" s="596">
        <v>15000</v>
      </c>
      <c r="H52" s="596">
        <v>9000</v>
      </c>
      <c r="I52" s="596">
        <v>12000</v>
      </c>
      <c r="J52" s="259"/>
      <c r="L52" s="786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8"/>
    </row>
    <row r="53" spans="1:25" ht="23.1" customHeight="1">
      <c r="A53" s="903"/>
      <c r="C53" s="258"/>
      <c r="D53" s="585" t="s">
        <v>202</v>
      </c>
      <c r="E53" s="549" t="s">
        <v>420</v>
      </c>
      <c r="F53" s="842">
        <f>SUM(F54:F55)</f>
        <v>79237.510000000009</v>
      </c>
      <c r="G53" s="842">
        <f>SUM(G54:G55)</f>
        <v>50000</v>
      </c>
      <c r="H53" s="842">
        <f>SUM(H54:H55)</f>
        <v>38668.21</v>
      </c>
      <c r="I53" s="842">
        <f>SUM(I54:I55)</f>
        <v>30000</v>
      </c>
      <c r="J53" s="259"/>
      <c r="L53" s="786"/>
      <c r="M53" s="787"/>
      <c r="N53" s="787"/>
      <c r="O53" s="787"/>
      <c r="P53" s="787"/>
      <c r="Q53" s="787"/>
      <c r="R53" s="787"/>
      <c r="S53" s="787"/>
      <c r="T53" s="787"/>
      <c r="U53" s="787"/>
      <c r="V53" s="787"/>
      <c r="W53" s="787"/>
      <c r="X53" s="787"/>
      <c r="Y53" s="788"/>
    </row>
    <row r="54" spans="1:25" ht="23.1" customHeight="1">
      <c r="A54" s="903"/>
      <c r="C54" s="258"/>
      <c r="D54" s="893" t="s">
        <v>192</v>
      </c>
      <c r="E54" s="894" t="s">
        <v>421</v>
      </c>
      <c r="F54" s="895">
        <v>1667.44</v>
      </c>
      <c r="G54" s="895">
        <v>0</v>
      </c>
      <c r="H54" s="896">
        <v>0</v>
      </c>
      <c r="I54" s="897">
        <v>0</v>
      </c>
      <c r="J54" s="259"/>
      <c r="L54" s="786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8"/>
    </row>
    <row r="55" spans="1:25" ht="23.1" customHeight="1">
      <c r="A55" s="903"/>
      <c r="C55" s="258"/>
      <c r="D55" s="893" t="s">
        <v>194</v>
      </c>
      <c r="E55" s="894" t="s">
        <v>422</v>
      </c>
      <c r="F55" s="895">
        <v>77570.070000000007</v>
      </c>
      <c r="G55" s="895">
        <v>50000</v>
      </c>
      <c r="H55" s="896">
        <v>38668.21</v>
      </c>
      <c r="I55" s="897">
        <v>30000</v>
      </c>
      <c r="J55" s="259"/>
      <c r="L55" s="786"/>
      <c r="M55" s="787"/>
      <c r="N55" s="787"/>
      <c r="O55" s="787"/>
      <c r="P55" s="787"/>
      <c r="Q55" s="787"/>
      <c r="R55" s="787"/>
      <c r="S55" s="787"/>
      <c r="T55" s="787"/>
      <c r="U55" s="787"/>
      <c r="V55" s="787"/>
      <c r="W55" s="787"/>
      <c r="X55" s="787"/>
      <c r="Y55" s="788"/>
    </row>
    <row r="56" spans="1:25" ht="23.1" customHeight="1">
      <c r="A56" s="903"/>
      <c r="C56" s="258"/>
      <c r="D56" s="582" t="s">
        <v>366</v>
      </c>
      <c r="E56" s="541" t="s">
        <v>378</v>
      </c>
      <c r="F56" s="597">
        <v>0</v>
      </c>
      <c r="G56" s="597">
        <v>0</v>
      </c>
      <c r="H56" s="597">
        <v>0</v>
      </c>
      <c r="I56" s="597">
        <v>0</v>
      </c>
      <c r="J56" s="259"/>
      <c r="L56" s="786"/>
      <c r="M56" s="787"/>
      <c r="N56" s="787"/>
      <c r="O56" s="787"/>
      <c r="P56" s="787"/>
      <c r="Q56" s="787"/>
      <c r="R56" s="787"/>
      <c r="S56" s="787"/>
      <c r="T56" s="787"/>
      <c r="U56" s="787"/>
      <c r="V56" s="787"/>
      <c r="W56" s="787"/>
      <c r="X56" s="787"/>
      <c r="Y56" s="788"/>
    </row>
    <row r="57" spans="1:25" ht="23.1" customHeight="1">
      <c r="A57" s="903"/>
      <c r="C57" s="258"/>
      <c r="D57" s="579"/>
      <c r="E57" s="538"/>
      <c r="F57" s="598"/>
      <c r="G57" s="598"/>
      <c r="H57" s="598"/>
      <c r="I57" s="599"/>
      <c r="J57" s="259"/>
      <c r="L57" s="786"/>
      <c r="M57" s="787"/>
      <c r="N57" s="787"/>
      <c r="O57" s="787"/>
      <c r="P57" s="787"/>
      <c r="Q57" s="787"/>
      <c r="R57" s="787"/>
      <c r="S57" s="787"/>
      <c r="T57" s="787"/>
      <c r="U57" s="787"/>
      <c r="V57" s="787"/>
      <c r="W57" s="787"/>
      <c r="X57" s="787"/>
      <c r="Y57" s="788"/>
    </row>
    <row r="58" spans="1:25" ht="23.1" customHeight="1" thickBot="1">
      <c r="A58" s="903"/>
      <c r="C58" s="258"/>
      <c r="D58" s="574" t="s">
        <v>423</v>
      </c>
      <c r="E58" s="575"/>
      <c r="F58" s="601">
        <f>F16+F27+F41</f>
        <v>496784.39</v>
      </c>
      <c r="G58" s="601">
        <f>G16+G27+G41</f>
        <v>240386.43</v>
      </c>
      <c r="H58" s="601">
        <f>H16+H27+H41</f>
        <v>339652.32</v>
      </c>
      <c r="I58" s="601">
        <f>I16+I27+I41</f>
        <v>250684.28</v>
      </c>
      <c r="J58" s="259"/>
      <c r="L58" s="786"/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8"/>
    </row>
    <row r="59" spans="1:25" ht="23.1" customHeight="1" thickBot="1">
      <c r="A59" s="903"/>
      <c r="C59" s="279"/>
      <c r="D59" s="1148"/>
      <c r="E59" s="1148"/>
      <c r="F59" s="1148"/>
      <c r="G59" s="1148"/>
      <c r="H59" s="1148"/>
      <c r="I59" s="280"/>
      <c r="J59" s="281"/>
      <c r="L59" s="789"/>
      <c r="M59" s="790"/>
      <c r="N59" s="790"/>
      <c r="O59" s="790"/>
      <c r="P59" s="790"/>
      <c r="Q59" s="790"/>
      <c r="R59" s="790"/>
      <c r="S59" s="790"/>
      <c r="T59" s="790"/>
      <c r="U59" s="790"/>
      <c r="V59" s="790"/>
      <c r="W59" s="790"/>
      <c r="X59" s="790"/>
      <c r="Y59" s="791"/>
    </row>
    <row r="60" spans="1:25" ht="23.1" customHeight="1">
      <c r="A60" s="369"/>
      <c r="K60" s="24" t="s">
        <v>140</v>
      </c>
    </row>
    <row r="61" spans="1:25" ht="15">
      <c r="A61" s="369"/>
      <c r="D61" s="20" t="s">
        <v>39</v>
      </c>
      <c r="I61" s="23" t="s">
        <v>424</v>
      </c>
    </row>
    <row r="62" spans="1:25" ht="15">
      <c r="A62" s="369"/>
      <c r="D62" s="20" t="s">
        <v>41</v>
      </c>
    </row>
    <row r="63" spans="1:25" ht="15">
      <c r="A63" s="369"/>
      <c r="D63" s="20" t="s">
        <v>42</v>
      </c>
    </row>
    <row r="64" spans="1:25" ht="15">
      <c r="A64" s="369"/>
      <c r="D64" s="20" t="s">
        <v>43</v>
      </c>
    </row>
    <row r="65" spans="1:9" ht="12.75">
      <c r="A65" s="24"/>
      <c r="D65" s="20" t="s">
        <v>44</v>
      </c>
    </row>
    <row r="66" spans="1:9" ht="23.1" customHeight="1">
      <c r="A66" s="24"/>
      <c r="F66" s="578"/>
      <c r="G66" s="578"/>
      <c r="H66" s="578"/>
      <c r="I66" s="578"/>
    </row>
    <row r="67" spans="1:9" ht="23.1" customHeight="1">
      <c r="A67" s="24"/>
    </row>
    <row r="68" spans="1:9" ht="23.1" customHeight="1">
      <c r="A68" s="24"/>
    </row>
    <row r="69" spans="1:9" ht="23.1" customHeight="1">
      <c r="A69" s="24"/>
    </row>
    <row r="70" spans="1:9" ht="23.1" customHeight="1">
      <c r="A70" s="369"/>
    </row>
  </sheetData>
  <sheetProtection algorithmName="SHA-512" hashValue="u1oEHlEGoSn1Ddnaml5hFTCVMMQUfOBr13xnWQfnmkfCGXv9cPENDK1ZzKdRCXEp1HQoH0C/7ZbplZLoewy2SQ==" saltValue="dFb+DkSMkf3+rRWpfxlD4g==" spinCount="100000" sheet="1" objects="1" scenarios="1"/>
  <mergeCells count="3">
    <mergeCell ref="I6:I7"/>
    <mergeCell ref="E9:I9"/>
    <mergeCell ref="D59:H59"/>
  </mergeCells>
  <phoneticPr fontId="16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AI69"/>
  <sheetViews>
    <sheetView zoomScale="70" zoomScaleNormal="70" workbookViewId="0">
      <selection activeCell="J22" sqref="J22"/>
    </sheetView>
  </sheetViews>
  <sheetFormatPr baseColWidth="10" defaultColWidth="10.6640625" defaultRowHeight="23.1" customHeight="1"/>
  <cols>
    <col min="1" max="1" width="10.6640625" style="149"/>
    <col min="2" max="2" width="4.109375" style="32" bestFit="1" customWidth="1"/>
    <col min="3" max="3" width="3.109375" style="32" customWidth="1"/>
    <col min="4" max="4" width="13.5546875" style="32" customWidth="1"/>
    <col min="5" max="5" width="42.6640625" style="32" customWidth="1"/>
    <col min="6" max="7" width="12.6640625" style="33" customWidth="1"/>
    <col min="8" max="9" width="15.6640625" style="33" customWidth="1"/>
    <col min="10" max="19" width="12.6640625" style="33" customWidth="1"/>
    <col min="20" max="20" width="3.33203125" style="32" customWidth="1"/>
    <col min="21" max="16384" width="10.6640625" style="32"/>
  </cols>
  <sheetData>
    <row r="2" spans="1:35" ht="23.1" customHeight="1">
      <c r="A2" s="369"/>
      <c r="E2" s="347" t="str">
        <f>_GENERAL!D2</f>
        <v>Área de Presidencia, Hacienda y Modernización</v>
      </c>
    </row>
    <row r="3" spans="1:35" ht="23.1" customHeight="1">
      <c r="A3" s="369"/>
      <c r="E3" s="347" t="str">
        <f>_GENERAL!D3</f>
        <v>Dirección Insular de Hacienda</v>
      </c>
    </row>
    <row r="4" spans="1:35" ht="23.1" customHeight="1" thickBot="1">
      <c r="A4" s="369"/>
      <c r="B4" s="32" t="s">
        <v>100</v>
      </c>
    </row>
    <row r="5" spans="1:35" ht="9" customHeight="1">
      <c r="A5" s="975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V5" s="757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9"/>
    </row>
    <row r="6" spans="1:35" ht="30" customHeight="1">
      <c r="A6" s="975"/>
      <c r="C6" s="38"/>
      <c r="D6" s="29" t="s">
        <v>2</v>
      </c>
      <c r="S6" s="1140">
        <f>ejercicio</f>
        <v>2022</v>
      </c>
      <c r="T6" s="39"/>
      <c r="V6" s="174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7"/>
    </row>
    <row r="7" spans="1:35" ht="30" customHeight="1">
      <c r="A7" s="975"/>
      <c r="C7" s="38"/>
      <c r="D7" s="29" t="s">
        <v>3</v>
      </c>
      <c r="S7" s="1140"/>
      <c r="T7" s="39"/>
      <c r="V7" s="178"/>
      <c r="W7" s="175" t="s">
        <v>101</v>
      </c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</row>
    <row r="8" spans="1:35" ht="30" customHeight="1">
      <c r="A8" s="975"/>
      <c r="C8" s="38"/>
      <c r="D8" s="40"/>
      <c r="S8" s="41"/>
      <c r="T8" s="39"/>
      <c r="V8" s="777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9"/>
    </row>
    <row r="9" spans="1:35" s="27" customFormat="1" ht="30" customHeight="1">
      <c r="A9" s="900" t="s">
        <v>46</v>
      </c>
      <c r="B9" s="970"/>
      <c r="C9" s="935"/>
      <c r="D9" s="22" t="s">
        <v>47</v>
      </c>
      <c r="E9" s="1149" t="str">
        <f>Entidad</f>
        <v>FUNDACION CANARIA TENERIFE RURAL</v>
      </c>
      <c r="F9" s="1149"/>
      <c r="G9" s="1149"/>
      <c r="H9" s="1149"/>
      <c r="I9" s="1149"/>
      <c r="J9" s="1149"/>
      <c r="K9" s="1149"/>
      <c r="L9" s="1149"/>
      <c r="M9" s="1149"/>
      <c r="N9" s="1149"/>
      <c r="O9" s="1149"/>
      <c r="P9" s="1149"/>
      <c r="Q9" s="1149"/>
      <c r="R9" s="1149"/>
      <c r="S9" s="1149"/>
      <c r="T9" s="936"/>
      <c r="U9" s="970"/>
      <c r="V9" s="780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2"/>
    </row>
    <row r="10" spans="1:35" ht="6.95" customHeight="1">
      <c r="A10" s="975"/>
      <c r="C10" s="38"/>
      <c r="T10" s="39"/>
      <c r="V10" s="780"/>
      <c r="W10" s="781"/>
      <c r="X10" s="781"/>
      <c r="Y10" s="781"/>
      <c r="Z10" s="781"/>
      <c r="AA10" s="781"/>
      <c r="AB10" s="781"/>
      <c r="AC10" s="781"/>
      <c r="AD10" s="781"/>
      <c r="AE10" s="781"/>
      <c r="AF10" s="781"/>
      <c r="AG10" s="781"/>
      <c r="AH10" s="781"/>
      <c r="AI10" s="782"/>
    </row>
    <row r="11" spans="1:35" s="46" customFormat="1" ht="30" customHeight="1">
      <c r="A11" s="901"/>
      <c r="C11" s="42"/>
      <c r="D11" s="43" t="s">
        <v>425</v>
      </c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V11" s="780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/>
      <c r="AI11" s="782"/>
    </row>
    <row r="12" spans="1:35" s="46" customFormat="1" ht="30" customHeight="1">
      <c r="A12" s="901"/>
      <c r="C12" s="4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45"/>
      <c r="V12" s="780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2"/>
    </row>
    <row r="13" spans="1:35" s="49" customFormat="1" ht="18.95" customHeight="1">
      <c r="A13" s="901"/>
      <c r="C13" s="47"/>
      <c r="D13" s="163"/>
      <c r="E13" s="163"/>
      <c r="F13" s="163"/>
      <c r="G13" s="163"/>
      <c r="H13" s="163"/>
      <c r="I13" s="164" t="s">
        <v>426</v>
      </c>
      <c r="J13" s="1175" t="s">
        <v>427</v>
      </c>
      <c r="K13" s="1176"/>
      <c r="L13" s="1176"/>
      <c r="M13" s="1176"/>
      <c r="N13" s="1177"/>
      <c r="O13" s="165"/>
      <c r="P13" s="1026"/>
      <c r="Q13" s="166" t="s">
        <v>428</v>
      </c>
      <c r="R13" s="167">
        <f>ejercicio-1</f>
        <v>2021</v>
      </c>
      <c r="S13" s="294" t="s">
        <v>429</v>
      </c>
      <c r="T13" s="48"/>
      <c r="V13" s="780"/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1"/>
      <c r="AH13" s="781"/>
      <c r="AI13" s="782"/>
    </row>
    <row r="14" spans="1:35" s="17" customFormat="1" ht="18.95" customHeight="1">
      <c r="A14" s="902"/>
      <c r="C14" s="47"/>
      <c r="D14" s="168"/>
      <c r="E14" s="168"/>
      <c r="F14" s="168"/>
      <c r="G14" s="168"/>
      <c r="H14" s="168"/>
      <c r="I14" s="169" t="s">
        <v>430</v>
      </c>
      <c r="J14" s="170"/>
      <c r="K14" s="171"/>
      <c r="L14" s="171"/>
      <c r="M14" s="171"/>
      <c r="N14" s="172"/>
      <c r="O14" s="170"/>
      <c r="P14" s="171"/>
      <c r="Q14" s="171"/>
      <c r="R14" s="171"/>
      <c r="S14" s="172"/>
      <c r="T14" s="48"/>
      <c r="V14" s="780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2"/>
    </row>
    <row r="15" spans="1:35" s="17" customFormat="1" ht="18.95" customHeight="1">
      <c r="A15" s="903"/>
      <c r="C15" s="47"/>
      <c r="D15" s="173" t="s">
        <v>431</v>
      </c>
      <c r="E15" s="173" t="s">
        <v>432</v>
      </c>
      <c r="F15" s="173" t="s">
        <v>433</v>
      </c>
      <c r="G15" s="173" t="s">
        <v>434</v>
      </c>
      <c r="H15" s="173" t="s">
        <v>435</v>
      </c>
      <c r="I15" s="173">
        <f>ejercicio-1</f>
        <v>2021</v>
      </c>
      <c r="J15" s="173">
        <f>+ejercicio</f>
        <v>2022</v>
      </c>
      <c r="K15" s="173">
        <f>ejercicio+1</f>
        <v>2023</v>
      </c>
      <c r="L15" s="173">
        <f>ejercicio+2</f>
        <v>2024</v>
      </c>
      <c r="M15" s="173">
        <f>ejercicio+3</f>
        <v>2025</v>
      </c>
      <c r="N15" s="173" t="s">
        <v>436</v>
      </c>
      <c r="O15" s="173">
        <f>+ejercicio</f>
        <v>2022</v>
      </c>
      <c r="P15" s="173">
        <f>ejercicio+1</f>
        <v>2023</v>
      </c>
      <c r="Q15" s="173">
        <f>ejercicio+2</f>
        <v>2024</v>
      </c>
      <c r="R15" s="173">
        <f>ejercicio+3</f>
        <v>2025</v>
      </c>
      <c r="S15" s="173" t="s">
        <v>436</v>
      </c>
      <c r="T15" s="48"/>
      <c r="V15" s="780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2"/>
    </row>
    <row r="16" spans="1:35" ht="23.1" customHeight="1">
      <c r="A16" s="903"/>
      <c r="C16" s="47"/>
      <c r="D16" s="1027"/>
      <c r="E16" s="953" t="s">
        <v>437</v>
      </c>
      <c r="F16" s="1028">
        <v>2020</v>
      </c>
      <c r="G16" s="1028">
        <v>2020</v>
      </c>
      <c r="H16" s="954">
        <v>282.16000000000003</v>
      </c>
      <c r="I16" s="954">
        <v>282.16000000000003</v>
      </c>
      <c r="J16" s="1029"/>
      <c r="K16" s="1029"/>
      <c r="L16" s="1029"/>
      <c r="M16" s="1029"/>
      <c r="N16" s="1029"/>
      <c r="O16" s="1029"/>
      <c r="P16" s="1029"/>
      <c r="Q16" s="1029"/>
      <c r="R16" s="1029"/>
      <c r="S16" s="1029"/>
      <c r="T16" s="39"/>
      <c r="V16" s="780"/>
      <c r="W16" s="781"/>
      <c r="X16" s="781"/>
      <c r="Y16" s="781"/>
      <c r="Z16" s="781"/>
      <c r="AA16" s="781"/>
      <c r="AB16" s="781"/>
      <c r="AC16" s="781"/>
      <c r="AD16" s="781"/>
      <c r="AE16" s="781"/>
      <c r="AF16" s="781"/>
      <c r="AG16" s="781"/>
      <c r="AH16" s="781"/>
      <c r="AI16" s="782"/>
    </row>
    <row r="17" spans="1:35" ht="23.1" customHeight="1">
      <c r="A17" s="903"/>
      <c r="C17" s="47"/>
      <c r="D17" s="1030"/>
      <c r="E17" s="953" t="s">
        <v>438</v>
      </c>
      <c r="F17" s="1028">
        <v>2020</v>
      </c>
      <c r="G17" s="1028">
        <v>2020</v>
      </c>
      <c r="H17" s="954">
        <v>1190.0999999999999</v>
      </c>
      <c r="I17" s="954">
        <v>1190.0999999999999</v>
      </c>
      <c r="J17" s="1031"/>
      <c r="K17" s="1031"/>
      <c r="L17" s="1031"/>
      <c r="M17" s="1031"/>
      <c r="N17" s="1031"/>
      <c r="O17" s="1031"/>
      <c r="P17" s="1031"/>
      <c r="Q17" s="1031"/>
      <c r="R17" s="1031"/>
      <c r="S17" s="1031"/>
      <c r="T17" s="39"/>
      <c r="V17" s="780"/>
      <c r="W17" s="781"/>
      <c r="X17" s="781"/>
      <c r="Y17" s="781"/>
      <c r="Z17" s="781"/>
      <c r="AA17" s="781"/>
      <c r="AB17" s="781"/>
      <c r="AC17" s="781"/>
      <c r="AD17" s="781"/>
      <c r="AE17" s="781"/>
      <c r="AF17" s="781"/>
      <c r="AG17" s="781"/>
      <c r="AH17" s="781"/>
      <c r="AI17" s="782"/>
    </row>
    <row r="18" spans="1:35" ht="23.1" customHeight="1">
      <c r="A18" s="903"/>
      <c r="C18" s="47"/>
      <c r="D18" s="1030"/>
      <c r="E18" s="953" t="s">
        <v>439</v>
      </c>
      <c r="F18" s="1028">
        <v>2020</v>
      </c>
      <c r="G18" s="1028">
        <v>2020</v>
      </c>
      <c r="H18" s="954">
        <v>749</v>
      </c>
      <c r="I18" s="954">
        <v>749</v>
      </c>
      <c r="J18" s="1031"/>
      <c r="K18" s="1031"/>
      <c r="L18" s="1031"/>
      <c r="M18" s="1031"/>
      <c r="N18" s="1031"/>
      <c r="O18" s="1031"/>
      <c r="P18" s="1031"/>
      <c r="Q18" s="1031"/>
      <c r="R18" s="1031"/>
      <c r="S18" s="1031"/>
      <c r="T18" s="39"/>
      <c r="V18" s="780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2"/>
    </row>
    <row r="19" spans="1:35" ht="23.1" customHeight="1">
      <c r="A19" s="903"/>
      <c r="C19" s="47"/>
      <c r="D19" s="1030"/>
      <c r="E19" s="953" t="s">
        <v>440</v>
      </c>
      <c r="F19" s="1028">
        <v>2020</v>
      </c>
      <c r="G19" s="1028">
        <v>2020</v>
      </c>
      <c r="H19" s="954">
        <v>199</v>
      </c>
      <c r="I19" s="954">
        <v>199</v>
      </c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39"/>
      <c r="V19" s="780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2"/>
    </row>
    <row r="20" spans="1:35" ht="23.1" customHeight="1">
      <c r="A20" s="903"/>
      <c r="C20" s="47"/>
      <c r="D20" s="1030"/>
      <c r="E20" s="953" t="s">
        <v>441</v>
      </c>
      <c r="F20" s="1028">
        <v>2020</v>
      </c>
      <c r="G20" s="1028">
        <v>2020</v>
      </c>
      <c r="H20" s="954">
        <v>374.5</v>
      </c>
      <c r="I20" s="954">
        <v>374.5</v>
      </c>
      <c r="J20" s="1031"/>
      <c r="K20" s="1031"/>
      <c r="L20" s="1031"/>
      <c r="M20" s="1031"/>
      <c r="N20" s="1031"/>
      <c r="O20" s="1031"/>
      <c r="P20" s="1031"/>
      <c r="Q20" s="1031"/>
      <c r="R20" s="1031"/>
      <c r="S20" s="1031"/>
      <c r="T20" s="39"/>
      <c r="V20" s="780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2"/>
    </row>
    <row r="21" spans="1:35" ht="23.1" customHeight="1">
      <c r="A21" s="903"/>
      <c r="C21" s="47"/>
      <c r="D21" s="1030"/>
      <c r="E21" s="953" t="s">
        <v>442</v>
      </c>
      <c r="F21" s="1028">
        <v>2020</v>
      </c>
      <c r="G21" s="1028">
        <v>2020</v>
      </c>
      <c r="H21" s="954">
        <v>802.5</v>
      </c>
      <c r="I21" s="954">
        <v>802.5</v>
      </c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39"/>
      <c r="V21" s="780"/>
      <c r="W21" s="781"/>
      <c r="X21" s="781"/>
      <c r="Y21" s="781"/>
      <c r="Z21" s="781"/>
      <c r="AA21" s="781"/>
      <c r="AB21" s="781"/>
      <c r="AC21" s="781"/>
      <c r="AD21" s="781"/>
      <c r="AE21" s="781"/>
      <c r="AF21" s="781"/>
      <c r="AG21" s="781"/>
      <c r="AH21" s="781"/>
      <c r="AI21" s="782"/>
    </row>
    <row r="22" spans="1:35" ht="23.1" customHeight="1">
      <c r="A22" s="903"/>
      <c r="C22" s="47"/>
      <c r="D22" s="1030"/>
      <c r="E22" s="953" t="s">
        <v>443</v>
      </c>
      <c r="F22" s="1028">
        <v>2020</v>
      </c>
      <c r="G22" s="1028">
        <v>2020</v>
      </c>
      <c r="H22" s="954">
        <v>224.7</v>
      </c>
      <c r="I22" s="954">
        <v>224.7</v>
      </c>
      <c r="J22" s="1031"/>
      <c r="K22" s="1031"/>
      <c r="L22" s="1031"/>
      <c r="M22" s="1031"/>
      <c r="N22" s="1031"/>
      <c r="O22" s="1031"/>
      <c r="P22" s="1031"/>
      <c r="Q22" s="1031"/>
      <c r="R22" s="1031"/>
      <c r="S22" s="1031"/>
      <c r="T22" s="39"/>
      <c r="V22" s="780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2"/>
    </row>
    <row r="23" spans="1:35" ht="23.1" customHeight="1">
      <c r="A23" s="903"/>
      <c r="C23" s="47"/>
      <c r="D23" s="1030"/>
      <c r="E23" s="953" t="s">
        <v>444</v>
      </c>
      <c r="F23" s="1028">
        <v>2020</v>
      </c>
      <c r="G23" s="1028">
        <v>2020</v>
      </c>
      <c r="H23" s="954">
        <v>1500</v>
      </c>
      <c r="I23" s="954">
        <v>1500</v>
      </c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39"/>
      <c r="V23" s="780"/>
      <c r="W23" s="781"/>
      <c r="X23" s="781"/>
      <c r="Y23" s="781"/>
      <c r="Z23" s="781"/>
      <c r="AA23" s="781"/>
      <c r="AB23" s="781"/>
      <c r="AC23" s="781"/>
      <c r="AD23" s="781"/>
      <c r="AE23" s="781"/>
      <c r="AF23" s="781"/>
      <c r="AG23" s="781"/>
      <c r="AH23" s="781"/>
      <c r="AI23" s="782"/>
    </row>
    <row r="24" spans="1:35" ht="23.1" customHeight="1">
      <c r="A24" s="903"/>
      <c r="C24" s="47"/>
      <c r="D24" s="1030"/>
      <c r="E24" s="953" t="s">
        <v>445</v>
      </c>
      <c r="F24" s="1028">
        <v>2020</v>
      </c>
      <c r="G24" s="1028">
        <v>2020</v>
      </c>
      <c r="H24" s="954">
        <v>660.52</v>
      </c>
      <c r="I24" s="954">
        <v>660.52</v>
      </c>
      <c r="J24" s="1031"/>
      <c r="K24" s="1031"/>
      <c r="L24" s="1031"/>
      <c r="M24" s="1031"/>
      <c r="N24" s="1031"/>
      <c r="O24" s="1031"/>
      <c r="P24" s="1031"/>
      <c r="Q24" s="1031"/>
      <c r="R24" s="1031"/>
      <c r="S24" s="1031"/>
      <c r="T24" s="39"/>
      <c r="V24" s="780"/>
      <c r="W24" s="781"/>
      <c r="X24" s="781"/>
      <c r="Y24" s="781"/>
      <c r="Z24" s="781"/>
      <c r="AA24" s="781"/>
      <c r="AB24" s="781"/>
      <c r="AC24" s="781"/>
      <c r="AD24" s="781"/>
      <c r="AE24" s="781"/>
      <c r="AF24" s="781"/>
      <c r="AG24" s="781"/>
      <c r="AH24" s="781"/>
      <c r="AI24" s="782"/>
    </row>
    <row r="25" spans="1:35" ht="23.1" customHeight="1">
      <c r="A25" s="903"/>
      <c r="C25" s="47"/>
      <c r="D25" s="1030"/>
      <c r="E25" s="955" t="s">
        <v>446</v>
      </c>
      <c r="F25" s="1032">
        <v>2021</v>
      </c>
      <c r="G25" s="1032">
        <v>2021</v>
      </c>
      <c r="H25" s="1031">
        <v>10000</v>
      </c>
      <c r="I25" s="1031"/>
      <c r="J25" s="1031">
        <v>10000</v>
      </c>
      <c r="K25" s="1031"/>
      <c r="L25" s="1031"/>
      <c r="M25" s="1031"/>
      <c r="N25" s="1031"/>
      <c r="O25" s="1031"/>
      <c r="P25" s="1031"/>
      <c r="Q25" s="1031"/>
      <c r="R25" s="1031"/>
      <c r="S25" s="1031"/>
      <c r="T25" s="39"/>
      <c r="V25" s="780"/>
      <c r="W25" s="781"/>
      <c r="X25" s="781"/>
      <c r="Y25" s="781"/>
      <c r="Z25" s="781"/>
      <c r="AA25" s="781"/>
      <c r="AB25" s="781"/>
      <c r="AC25" s="781"/>
      <c r="AD25" s="781"/>
      <c r="AE25" s="781"/>
      <c r="AF25" s="781"/>
      <c r="AG25" s="781"/>
      <c r="AH25" s="781"/>
      <c r="AI25" s="782"/>
    </row>
    <row r="26" spans="1:35" ht="23.1" customHeight="1">
      <c r="A26" s="903"/>
      <c r="C26" s="47"/>
      <c r="D26" s="1030"/>
      <c r="E26" s="955"/>
      <c r="F26" s="1032"/>
      <c r="G26" s="1032"/>
      <c r="H26" s="1031"/>
      <c r="I26" s="1031"/>
      <c r="J26" s="1031"/>
      <c r="K26" s="1031"/>
      <c r="L26" s="1031"/>
      <c r="M26" s="1031"/>
      <c r="N26" s="1031"/>
      <c r="O26" s="1031"/>
      <c r="P26" s="1031"/>
      <c r="Q26" s="1031"/>
      <c r="R26" s="1031"/>
      <c r="S26" s="1031"/>
      <c r="T26" s="39"/>
      <c r="V26" s="780"/>
      <c r="W26" s="781"/>
      <c r="X26" s="781"/>
      <c r="Y26" s="781"/>
      <c r="Z26" s="781"/>
      <c r="AA26" s="781"/>
      <c r="AB26" s="781"/>
      <c r="AC26" s="781"/>
      <c r="AD26" s="781"/>
      <c r="AE26" s="781"/>
      <c r="AF26" s="781"/>
      <c r="AG26" s="781"/>
      <c r="AH26" s="781"/>
      <c r="AI26" s="782"/>
    </row>
    <row r="27" spans="1:35" ht="23.1" customHeight="1">
      <c r="A27" s="903"/>
      <c r="C27" s="47"/>
      <c r="D27" s="1030"/>
      <c r="E27" s="955"/>
      <c r="F27" s="1032"/>
      <c r="G27" s="1032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39"/>
      <c r="V27" s="780"/>
      <c r="W27" s="781"/>
      <c r="X27" s="781"/>
      <c r="Y27" s="781"/>
      <c r="Z27" s="781"/>
      <c r="AA27" s="781"/>
      <c r="AB27" s="781"/>
      <c r="AC27" s="781"/>
      <c r="AD27" s="781"/>
      <c r="AE27" s="781"/>
      <c r="AF27" s="781"/>
      <c r="AG27" s="781"/>
      <c r="AH27" s="781"/>
      <c r="AI27" s="782"/>
    </row>
    <row r="28" spans="1:35" ht="23.1" customHeight="1">
      <c r="A28" s="903"/>
      <c r="C28" s="47"/>
      <c r="D28" s="1030"/>
      <c r="E28" s="955"/>
      <c r="F28" s="1032"/>
      <c r="G28" s="1032"/>
      <c r="H28" s="1031"/>
      <c r="I28" s="1031"/>
      <c r="J28" s="1031"/>
      <c r="K28" s="1031"/>
      <c r="L28" s="1031"/>
      <c r="M28" s="1031"/>
      <c r="N28" s="1031"/>
      <c r="O28" s="1031"/>
      <c r="P28" s="1031"/>
      <c r="Q28" s="1031"/>
      <c r="R28" s="1031"/>
      <c r="S28" s="1031"/>
      <c r="T28" s="39"/>
      <c r="V28" s="780"/>
      <c r="W28" s="781"/>
      <c r="X28" s="781"/>
      <c r="Y28" s="781"/>
      <c r="Z28" s="781"/>
      <c r="AA28" s="781"/>
      <c r="AB28" s="781"/>
      <c r="AC28" s="781"/>
      <c r="AD28" s="781"/>
      <c r="AE28" s="781"/>
      <c r="AF28" s="781"/>
      <c r="AG28" s="781"/>
      <c r="AH28" s="781"/>
      <c r="AI28" s="782"/>
    </row>
    <row r="29" spans="1:35" ht="23.1" customHeight="1">
      <c r="A29" s="903"/>
      <c r="C29" s="47"/>
      <c r="D29" s="1030"/>
      <c r="E29" s="955"/>
      <c r="F29" s="1032"/>
      <c r="G29" s="1032"/>
      <c r="H29" s="1031"/>
      <c r="I29" s="1031"/>
      <c r="J29" s="1031"/>
      <c r="K29" s="1031"/>
      <c r="L29" s="1031"/>
      <c r="M29" s="1031"/>
      <c r="N29" s="1031"/>
      <c r="O29" s="1031"/>
      <c r="P29" s="1031"/>
      <c r="Q29" s="1031"/>
      <c r="R29" s="1031"/>
      <c r="S29" s="1031"/>
      <c r="T29" s="39"/>
      <c r="V29" s="780"/>
      <c r="W29" s="781"/>
      <c r="X29" s="781"/>
      <c r="Y29" s="781"/>
      <c r="Z29" s="781"/>
      <c r="AA29" s="781"/>
      <c r="AB29" s="781"/>
      <c r="AC29" s="781"/>
      <c r="AD29" s="781"/>
      <c r="AE29" s="781"/>
      <c r="AF29" s="781"/>
      <c r="AG29" s="781"/>
      <c r="AH29" s="781"/>
      <c r="AI29" s="782"/>
    </row>
    <row r="30" spans="1:35" ht="23.1" customHeight="1">
      <c r="A30" s="903"/>
      <c r="C30" s="47"/>
      <c r="D30" s="1030"/>
      <c r="E30" s="955"/>
      <c r="F30" s="1032"/>
      <c r="G30" s="1032"/>
      <c r="H30" s="1031"/>
      <c r="I30" s="1031"/>
      <c r="J30" s="1031"/>
      <c r="K30" s="1031"/>
      <c r="L30" s="1031"/>
      <c r="M30" s="1031"/>
      <c r="N30" s="1031"/>
      <c r="O30" s="1031"/>
      <c r="P30" s="1031"/>
      <c r="Q30" s="1031"/>
      <c r="R30" s="1031"/>
      <c r="S30" s="1031"/>
      <c r="T30" s="39"/>
      <c r="V30" s="783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4"/>
      <c r="AI30" s="785"/>
    </row>
    <row r="31" spans="1:35" ht="23.1" customHeight="1">
      <c r="A31" s="903"/>
      <c r="C31" s="47"/>
      <c r="D31" s="1030"/>
      <c r="E31" s="955"/>
      <c r="F31" s="1032"/>
      <c r="G31" s="1032"/>
      <c r="H31" s="1031"/>
      <c r="I31" s="1031"/>
      <c r="J31" s="1031"/>
      <c r="K31" s="1031"/>
      <c r="L31" s="1031"/>
      <c r="M31" s="1031"/>
      <c r="N31" s="1031"/>
      <c r="O31" s="1031"/>
      <c r="P31" s="1031"/>
      <c r="Q31" s="1031"/>
      <c r="R31" s="1031"/>
      <c r="S31" s="1031"/>
      <c r="T31" s="39"/>
      <c r="V31" s="783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5"/>
    </row>
    <row r="32" spans="1:35" ht="23.1" customHeight="1">
      <c r="A32" s="903"/>
      <c r="C32" s="47"/>
      <c r="D32" s="1030"/>
      <c r="E32" s="955"/>
      <c r="F32" s="1032"/>
      <c r="G32" s="1032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39"/>
      <c r="V32" s="780"/>
      <c r="W32" s="781"/>
      <c r="X32" s="781"/>
      <c r="Y32" s="781"/>
      <c r="Z32" s="781"/>
      <c r="AA32" s="781"/>
      <c r="AB32" s="781"/>
      <c r="AC32" s="781"/>
      <c r="AD32" s="781"/>
      <c r="AE32" s="781"/>
      <c r="AF32" s="781"/>
      <c r="AG32" s="781"/>
      <c r="AH32" s="781"/>
      <c r="AI32" s="782"/>
    </row>
    <row r="33" spans="1:35" ht="23.1" customHeight="1">
      <c r="A33" s="903"/>
      <c r="C33" s="47"/>
      <c r="D33" s="1030"/>
      <c r="E33" s="955"/>
      <c r="F33" s="1032"/>
      <c r="G33" s="1032"/>
      <c r="H33" s="1031"/>
      <c r="I33" s="1031"/>
      <c r="J33" s="1031"/>
      <c r="K33" s="1031"/>
      <c r="L33" s="1031"/>
      <c r="M33" s="1031"/>
      <c r="N33" s="1031"/>
      <c r="O33" s="1031"/>
      <c r="P33" s="1031"/>
      <c r="Q33" s="1031"/>
      <c r="R33" s="1031"/>
      <c r="S33" s="1031"/>
      <c r="T33" s="39"/>
      <c r="V33" s="780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2"/>
    </row>
    <row r="34" spans="1:35" ht="23.1" customHeight="1">
      <c r="A34" s="903"/>
      <c r="C34" s="47"/>
      <c r="D34" s="1030"/>
      <c r="E34" s="955"/>
      <c r="F34" s="1032"/>
      <c r="G34" s="1032"/>
      <c r="H34" s="1031"/>
      <c r="I34" s="1031"/>
      <c r="J34" s="1031"/>
      <c r="K34" s="1031"/>
      <c r="L34" s="1031"/>
      <c r="M34" s="1031"/>
      <c r="N34" s="1031"/>
      <c r="O34" s="1031"/>
      <c r="P34" s="1031"/>
      <c r="Q34" s="1031"/>
      <c r="R34" s="1031"/>
      <c r="S34" s="1031"/>
      <c r="T34" s="39"/>
      <c r="V34" s="780"/>
      <c r="W34" s="781"/>
      <c r="X34" s="781"/>
      <c r="Y34" s="781"/>
      <c r="Z34" s="781"/>
      <c r="AA34" s="781"/>
      <c r="AB34" s="781"/>
      <c r="AC34" s="781"/>
      <c r="AD34" s="781"/>
      <c r="AE34" s="781"/>
      <c r="AF34" s="781"/>
      <c r="AG34" s="781"/>
      <c r="AH34" s="781"/>
      <c r="AI34" s="782"/>
    </row>
    <row r="35" spans="1:35" ht="23.1" customHeight="1">
      <c r="A35" s="903"/>
      <c r="C35" s="47"/>
      <c r="D35" s="1030"/>
      <c r="E35" s="955"/>
      <c r="F35" s="1032"/>
      <c r="G35" s="1032"/>
      <c r="H35" s="1031"/>
      <c r="I35" s="1031"/>
      <c r="J35" s="1031"/>
      <c r="K35" s="1031"/>
      <c r="L35" s="1031"/>
      <c r="M35" s="1031"/>
      <c r="N35" s="1031"/>
      <c r="O35" s="1031"/>
      <c r="P35" s="1031"/>
      <c r="Q35" s="1031"/>
      <c r="R35" s="1031"/>
      <c r="S35" s="1031"/>
      <c r="T35" s="39"/>
      <c r="V35" s="780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782"/>
    </row>
    <row r="36" spans="1:35" ht="23.1" customHeight="1">
      <c r="A36" s="903"/>
      <c r="C36" s="47"/>
      <c r="D36" s="1030"/>
      <c r="E36" s="955"/>
      <c r="F36" s="1032"/>
      <c r="G36" s="1032"/>
      <c r="H36" s="1031"/>
      <c r="I36" s="1031"/>
      <c r="J36" s="1031"/>
      <c r="K36" s="1031"/>
      <c r="L36" s="1031"/>
      <c r="M36" s="1031"/>
      <c r="N36" s="1031"/>
      <c r="O36" s="1031"/>
      <c r="P36" s="1031"/>
      <c r="Q36" s="1031"/>
      <c r="R36" s="1031"/>
      <c r="S36" s="1031"/>
      <c r="T36" s="39"/>
      <c r="V36" s="786"/>
      <c r="W36" s="787"/>
      <c r="X36" s="787"/>
      <c r="Y36" s="787"/>
      <c r="Z36" s="787"/>
      <c r="AA36" s="787"/>
      <c r="AB36" s="787"/>
      <c r="AC36" s="787"/>
      <c r="AD36" s="787"/>
      <c r="AE36" s="787"/>
      <c r="AF36" s="787"/>
      <c r="AG36" s="787"/>
      <c r="AH36" s="787"/>
      <c r="AI36" s="788"/>
    </row>
    <row r="37" spans="1:35" ht="23.1" customHeight="1">
      <c r="A37" s="903"/>
      <c r="C37" s="47"/>
      <c r="D37" s="1030"/>
      <c r="E37" s="955"/>
      <c r="F37" s="1032"/>
      <c r="G37" s="1032"/>
      <c r="H37" s="1031"/>
      <c r="I37" s="1031"/>
      <c r="J37" s="1031"/>
      <c r="K37" s="1031"/>
      <c r="L37" s="1031"/>
      <c r="M37" s="1031"/>
      <c r="N37" s="1031"/>
      <c r="O37" s="1031"/>
      <c r="P37" s="1031"/>
      <c r="Q37" s="1031"/>
      <c r="R37" s="1031"/>
      <c r="S37" s="1031"/>
      <c r="T37" s="39"/>
      <c r="V37" s="786"/>
      <c r="W37" s="787"/>
      <c r="X37" s="787"/>
      <c r="Y37" s="787"/>
      <c r="Z37" s="787"/>
      <c r="AA37" s="787"/>
      <c r="AB37" s="787"/>
      <c r="AC37" s="787"/>
      <c r="AD37" s="787"/>
      <c r="AE37" s="787"/>
      <c r="AF37" s="787"/>
      <c r="AG37" s="787"/>
      <c r="AH37" s="787"/>
      <c r="AI37" s="788"/>
    </row>
    <row r="38" spans="1:35" ht="23.1" customHeight="1">
      <c r="A38" s="903"/>
      <c r="C38" s="47"/>
      <c r="D38" s="1030"/>
      <c r="E38" s="955"/>
      <c r="F38" s="1032"/>
      <c r="G38" s="1032"/>
      <c r="H38" s="1031"/>
      <c r="I38" s="1031"/>
      <c r="J38" s="1031"/>
      <c r="K38" s="1031"/>
      <c r="L38" s="1031"/>
      <c r="M38" s="1031"/>
      <c r="N38" s="1031"/>
      <c r="O38" s="1031"/>
      <c r="P38" s="1031"/>
      <c r="Q38" s="1031"/>
      <c r="R38" s="1031"/>
      <c r="S38" s="1031"/>
      <c r="T38" s="39"/>
      <c r="V38" s="786"/>
      <c r="W38" s="787"/>
      <c r="X38" s="787"/>
      <c r="Y38" s="787"/>
      <c r="Z38" s="787"/>
      <c r="AA38" s="787"/>
      <c r="AB38" s="787"/>
      <c r="AC38" s="787"/>
      <c r="AD38" s="787"/>
      <c r="AE38" s="787"/>
      <c r="AF38" s="787"/>
      <c r="AG38" s="787"/>
      <c r="AH38" s="787"/>
      <c r="AI38" s="788"/>
    </row>
    <row r="39" spans="1:35" ht="23.1" customHeight="1">
      <c r="A39" s="903"/>
      <c r="C39" s="47"/>
      <c r="D39" s="1030"/>
      <c r="E39" s="955"/>
      <c r="F39" s="1032"/>
      <c r="G39" s="1032"/>
      <c r="H39" s="1031"/>
      <c r="I39" s="1031"/>
      <c r="J39" s="1031"/>
      <c r="K39" s="1031"/>
      <c r="L39" s="1031"/>
      <c r="M39" s="1031"/>
      <c r="N39" s="1031"/>
      <c r="O39" s="1031"/>
      <c r="P39" s="1031"/>
      <c r="Q39" s="1031"/>
      <c r="R39" s="1031"/>
      <c r="S39" s="1031"/>
      <c r="T39" s="39"/>
      <c r="V39" s="786"/>
      <c r="W39" s="787"/>
      <c r="X39" s="787"/>
      <c r="Y39" s="787"/>
      <c r="Z39" s="787"/>
      <c r="AA39" s="787"/>
      <c r="AB39" s="787"/>
      <c r="AC39" s="787"/>
      <c r="AD39" s="787"/>
      <c r="AE39" s="787"/>
      <c r="AF39" s="787"/>
      <c r="AG39" s="787"/>
      <c r="AH39" s="787"/>
      <c r="AI39" s="788"/>
    </row>
    <row r="40" spans="1:35" ht="23.1" customHeight="1">
      <c r="A40" s="903"/>
      <c r="C40" s="47"/>
      <c r="D40" s="1030"/>
      <c r="E40" s="955"/>
      <c r="F40" s="1032"/>
      <c r="G40" s="1032"/>
      <c r="H40" s="1031"/>
      <c r="I40" s="1031"/>
      <c r="J40" s="1031"/>
      <c r="K40" s="1031"/>
      <c r="L40" s="1031"/>
      <c r="M40" s="1031"/>
      <c r="N40" s="1031"/>
      <c r="O40" s="1031"/>
      <c r="P40" s="1031"/>
      <c r="Q40" s="1031"/>
      <c r="R40" s="1031"/>
      <c r="S40" s="1031"/>
      <c r="T40" s="39"/>
      <c r="V40" s="786"/>
      <c r="W40" s="787"/>
      <c r="X40" s="787"/>
      <c r="Y40" s="787"/>
      <c r="Z40" s="787"/>
      <c r="AA40" s="787"/>
      <c r="AB40" s="787"/>
      <c r="AC40" s="787"/>
      <c r="AD40" s="787"/>
      <c r="AE40" s="787"/>
      <c r="AF40" s="787"/>
      <c r="AG40" s="787"/>
      <c r="AH40" s="787"/>
      <c r="AI40" s="788"/>
    </row>
    <row r="41" spans="1:35" ht="23.1" customHeight="1">
      <c r="A41" s="903"/>
      <c r="C41" s="47"/>
      <c r="D41" s="1030"/>
      <c r="E41" s="955"/>
      <c r="F41" s="1032"/>
      <c r="G41" s="1032"/>
      <c r="H41" s="1031"/>
      <c r="I41" s="1031"/>
      <c r="J41" s="1031"/>
      <c r="K41" s="1031"/>
      <c r="L41" s="1031"/>
      <c r="M41" s="1031"/>
      <c r="N41" s="1031"/>
      <c r="O41" s="1031"/>
      <c r="P41" s="1031"/>
      <c r="Q41" s="1031"/>
      <c r="R41" s="1031"/>
      <c r="S41" s="1031"/>
      <c r="T41" s="39"/>
      <c r="V41" s="786"/>
      <c r="W41" s="787"/>
      <c r="X41" s="787"/>
      <c r="Y41" s="787"/>
      <c r="Z41" s="787"/>
      <c r="AA41" s="787"/>
      <c r="AB41" s="787"/>
      <c r="AC41" s="787"/>
      <c r="AD41" s="787"/>
      <c r="AE41" s="787"/>
      <c r="AF41" s="787"/>
      <c r="AG41" s="787"/>
      <c r="AH41" s="787"/>
      <c r="AI41" s="788"/>
    </row>
    <row r="42" spans="1:35" ht="23.1" customHeight="1">
      <c r="A42" s="903"/>
      <c r="C42" s="47"/>
      <c r="D42" s="1030"/>
      <c r="E42" s="955"/>
      <c r="F42" s="1032"/>
      <c r="G42" s="1032"/>
      <c r="H42" s="1031"/>
      <c r="I42" s="1031"/>
      <c r="J42" s="1031"/>
      <c r="K42" s="1031"/>
      <c r="L42" s="1031"/>
      <c r="M42" s="1031"/>
      <c r="N42" s="1031"/>
      <c r="O42" s="1031"/>
      <c r="P42" s="1031"/>
      <c r="Q42" s="1031"/>
      <c r="R42" s="1031"/>
      <c r="S42" s="1031"/>
      <c r="T42" s="39"/>
      <c r="V42" s="786"/>
      <c r="W42" s="787"/>
      <c r="X42" s="787"/>
      <c r="Y42" s="787"/>
      <c r="Z42" s="787"/>
      <c r="AA42" s="787"/>
      <c r="AB42" s="787"/>
      <c r="AC42" s="787"/>
      <c r="AD42" s="787"/>
      <c r="AE42" s="787"/>
      <c r="AF42" s="787"/>
      <c r="AG42" s="787"/>
      <c r="AH42" s="787"/>
      <c r="AI42" s="788"/>
    </row>
    <row r="43" spans="1:35" ht="23.1" customHeight="1">
      <c r="A43" s="903"/>
      <c r="C43" s="47"/>
      <c r="D43" s="1030"/>
      <c r="E43" s="955"/>
      <c r="F43" s="1032"/>
      <c r="G43" s="1032"/>
      <c r="H43" s="1031"/>
      <c r="I43" s="1031"/>
      <c r="J43" s="1031"/>
      <c r="K43" s="1031"/>
      <c r="L43" s="1031"/>
      <c r="M43" s="1031"/>
      <c r="N43" s="1031"/>
      <c r="O43" s="1031"/>
      <c r="P43" s="1031"/>
      <c r="Q43" s="1031"/>
      <c r="R43" s="1031"/>
      <c r="S43" s="1031"/>
      <c r="T43" s="39"/>
      <c r="V43" s="786"/>
      <c r="W43" s="787"/>
      <c r="X43" s="787"/>
      <c r="Y43" s="787"/>
      <c r="Z43" s="787"/>
      <c r="AA43" s="787"/>
      <c r="AB43" s="787"/>
      <c r="AC43" s="787"/>
      <c r="AD43" s="787"/>
      <c r="AE43" s="787"/>
      <c r="AF43" s="787"/>
      <c r="AG43" s="787"/>
      <c r="AH43" s="787"/>
      <c r="AI43" s="788"/>
    </row>
    <row r="44" spans="1:35" ht="23.1" customHeight="1">
      <c r="A44" s="903"/>
      <c r="C44" s="47"/>
      <c r="D44" s="1030"/>
      <c r="E44" s="955"/>
      <c r="F44" s="1032"/>
      <c r="G44" s="1032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39"/>
      <c r="V44" s="786"/>
      <c r="W44" s="787"/>
      <c r="X44" s="787"/>
      <c r="Y44" s="787"/>
      <c r="Z44" s="787"/>
      <c r="AA44" s="787"/>
      <c r="AB44" s="787"/>
      <c r="AC44" s="787"/>
      <c r="AD44" s="787"/>
      <c r="AE44" s="787"/>
      <c r="AF44" s="787"/>
      <c r="AG44" s="787"/>
      <c r="AH44" s="787"/>
      <c r="AI44" s="788"/>
    </row>
    <row r="45" spans="1:35" ht="23.1" customHeight="1">
      <c r="A45" s="903"/>
      <c r="C45" s="47"/>
      <c r="D45" s="1030"/>
      <c r="E45" s="955"/>
      <c r="F45" s="1032"/>
      <c r="G45" s="1032"/>
      <c r="H45" s="1031"/>
      <c r="I45" s="1031"/>
      <c r="J45" s="1031"/>
      <c r="K45" s="1031"/>
      <c r="L45" s="1031"/>
      <c r="M45" s="1031"/>
      <c r="N45" s="1031"/>
      <c r="O45" s="1031"/>
      <c r="P45" s="1031"/>
      <c r="Q45" s="1031"/>
      <c r="R45" s="1031"/>
      <c r="S45" s="1031"/>
      <c r="T45" s="39"/>
      <c r="V45" s="786"/>
      <c r="W45" s="787"/>
      <c r="X45" s="787"/>
      <c r="Y45" s="787"/>
      <c r="Z45" s="787"/>
      <c r="AA45" s="787"/>
      <c r="AB45" s="787"/>
      <c r="AC45" s="787"/>
      <c r="AD45" s="787"/>
      <c r="AE45" s="787"/>
      <c r="AF45" s="787"/>
      <c r="AG45" s="787"/>
      <c r="AH45" s="787"/>
      <c r="AI45" s="788"/>
    </row>
    <row r="46" spans="1:35" s="40" customFormat="1" ht="23.1" customHeight="1" thickBot="1">
      <c r="A46" s="903"/>
      <c r="C46" s="47"/>
      <c r="D46" s="1178" t="s">
        <v>447</v>
      </c>
      <c r="E46" s="1179"/>
      <c r="F46" s="54">
        <f>MIN(F16:F45)</f>
        <v>2020</v>
      </c>
      <c r="G46" s="54">
        <f>MAX(G16:G45)</f>
        <v>2021</v>
      </c>
      <c r="H46" s="55">
        <f t="shared" ref="H46:S46" si="0">SUM(H16:H45)</f>
        <v>15982.48</v>
      </c>
      <c r="I46" s="55">
        <f t="shared" si="0"/>
        <v>5982.48</v>
      </c>
      <c r="J46" s="55">
        <f t="shared" si="0"/>
        <v>10000</v>
      </c>
      <c r="K46" s="55">
        <f t="shared" si="0"/>
        <v>0</v>
      </c>
      <c r="L46" s="55">
        <f t="shared" si="0"/>
        <v>0</v>
      </c>
      <c r="M46" s="55">
        <f t="shared" si="0"/>
        <v>0</v>
      </c>
      <c r="N46" s="55">
        <f t="shared" si="0"/>
        <v>0</v>
      </c>
      <c r="O46" s="55">
        <f t="shared" si="0"/>
        <v>0</v>
      </c>
      <c r="P46" s="55">
        <f t="shared" si="0"/>
        <v>0</v>
      </c>
      <c r="Q46" s="55">
        <f t="shared" si="0"/>
        <v>0</v>
      </c>
      <c r="R46" s="55">
        <f t="shared" si="0"/>
        <v>0</v>
      </c>
      <c r="S46" s="55">
        <f t="shared" si="0"/>
        <v>0</v>
      </c>
      <c r="T46" s="56"/>
      <c r="V46" s="786"/>
      <c r="W46" s="787"/>
      <c r="X46" s="787"/>
      <c r="Y46" s="787"/>
      <c r="Z46" s="787"/>
      <c r="AA46" s="787"/>
      <c r="AB46" s="787"/>
      <c r="AC46" s="787"/>
      <c r="AD46" s="787"/>
      <c r="AE46" s="787"/>
      <c r="AF46" s="787"/>
      <c r="AG46" s="787"/>
      <c r="AH46" s="787"/>
      <c r="AI46" s="788"/>
    </row>
    <row r="47" spans="1:35" s="40" customFormat="1" ht="23.1" customHeight="1">
      <c r="A47" s="903"/>
      <c r="C47" s="47"/>
      <c r="D47" s="292"/>
      <c r="E47" s="292"/>
      <c r="F47" s="293"/>
      <c r="G47" s="293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56"/>
      <c r="V47" s="786"/>
      <c r="W47" s="787"/>
      <c r="X47" s="787"/>
      <c r="Y47" s="787"/>
      <c r="Z47" s="787"/>
      <c r="AA47" s="787"/>
      <c r="AB47" s="787"/>
      <c r="AC47" s="787"/>
      <c r="AD47" s="787"/>
      <c r="AE47" s="787"/>
      <c r="AF47" s="787"/>
      <c r="AG47" s="787"/>
      <c r="AH47" s="787"/>
      <c r="AI47" s="788"/>
    </row>
    <row r="48" spans="1:35" s="40" customFormat="1" ht="23.1" customHeight="1">
      <c r="A48" s="903"/>
      <c r="C48" s="47"/>
      <c r="D48" s="233" t="s">
        <v>448</v>
      </c>
      <c r="E48" s="292"/>
      <c r="F48" s="293"/>
      <c r="G48" s="293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56"/>
      <c r="V48" s="786"/>
      <c r="W48" s="787"/>
      <c r="X48" s="787"/>
      <c r="Y48" s="787"/>
      <c r="Z48" s="787"/>
      <c r="AA48" s="787"/>
      <c r="AB48" s="787"/>
      <c r="AC48" s="787"/>
      <c r="AD48" s="787"/>
      <c r="AE48" s="787"/>
      <c r="AF48" s="787"/>
      <c r="AG48" s="787"/>
      <c r="AH48" s="787"/>
      <c r="AI48" s="788"/>
    </row>
    <row r="49" spans="1:35" s="40" customFormat="1" ht="23.1" customHeight="1">
      <c r="A49" s="903"/>
      <c r="C49" s="47"/>
      <c r="D49" s="1033" t="s">
        <v>449</v>
      </c>
      <c r="E49" s="292"/>
      <c r="F49" s="293"/>
      <c r="G49" s="1034">
        <f>ejercicio-1</f>
        <v>2021</v>
      </c>
      <c r="H49" s="458" t="s">
        <v>450</v>
      </c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56"/>
      <c r="V49" s="786"/>
      <c r="W49" s="787"/>
      <c r="X49" s="787"/>
      <c r="Y49" s="787"/>
      <c r="Z49" s="787"/>
      <c r="AA49" s="787"/>
      <c r="AB49" s="787"/>
      <c r="AC49" s="787"/>
      <c r="AD49" s="787"/>
      <c r="AE49" s="787"/>
      <c r="AF49" s="787"/>
      <c r="AG49" s="787"/>
      <c r="AH49" s="787"/>
      <c r="AI49" s="788"/>
    </row>
    <row r="50" spans="1:35" s="40" customFormat="1" ht="23.1" customHeight="1">
      <c r="A50" s="903"/>
      <c r="C50" s="47"/>
      <c r="D50" s="632" t="s">
        <v>451</v>
      </c>
      <c r="E50" s="292"/>
      <c r="F50" s="293"/>
      <c r="G50" s="293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56"/>
      <c r="V50" s="786"/>
      <c r="W50" s="787"/>
      <c r="X50" s="787"/>
      <c r="Y50" s="787"/>
      <c r="Z50" s="787"/>
      <c r="AA50" s="787"/>
      <c r="AB50" s="787"/>
      <c r="AC50" s="787"/>
      <c r="AD50" s="787"/>
      <c r="AE50" s="787"/>
      <c r="AF50" s="787"/>
      <c r="AG50" s="787"/>
      <c r="AH50" s="787"/>
      <c r="AI50" s="788"/>
    </row>
    <row r="51" spans="1:35" s="40" customFormat="1" ht="23.1" customHeight="1">
      <c r="A51" s="903"/>
      <c r="C51" s="47"/>
      <c r="D51" s="1033" t="s">
        <v>452</v>
      </c>
      <c r="E51" s="292"/>
      <c r="F51" s="293"/>
      <c r="G51" s="293"/>
      <c r="H51" s="1034">
        <f>ejercicio-1</f>
        <v>2021</v>
      </c>
      <c r="I51" s="458" t="s">
        <v>453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56"/>
      <c r="V51" s="786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787"/>
      <c r="AI51" s="788"/>
    </row>
    <row r="52" spans="1:35" s="40" customFormat="1" ht="23.1" customHeight="1">
      <c r="A52" s="903"/>
      <c r="C52" s="47"/>
      <c r="D52" s="1033" t="s">
        <v>454</v>
      </c>
      <c r="E52" s="292"/>
      <c r="F52" s="293"/>
      <c r="G52" s="293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56"/>
      <c r="V52" s="786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8"/>
    </row>
    <row r="53" spans="1:35" s="40" customFormat="1" ht="23.1" customHeight="1">
      <c r="A53" s="903"/>
      <c r="C53" s="47"/>
      <c r="D53" s="1033" t="s">
        <v>455</v>
      </c>
      <c r="E53" s="292"/>
      <c r="F53" s="293"/>
      <c r="G53" s="293"/>
      <c r="H53" s="1034">
        <f>ejercicio-1</f>
        <v>2021</v>
      </c>
      <c r="I53" s="458" t="s">
        <v>456</v>
      </c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56"/>
      <c r="V53" s="786"/>
      <c r="W53" s="787"/>
      <c r="X53" s="787"/>
      <c r="Y53" s="787"/>
      <c r="Z53" s="787"/>
      <c r="AA53" s="787"/>
      <c r="AB53" s="787"/>
      <c r="AC53" s="787"/>
      <c r="AD53" s="787"/>
      <c r="AE53" s="787"/>
      <c r="AF53" s="787"/>
      <c r="AG53" s="787"/>
      <c r="AH53" s="787"/>
      <c r="AI53" s="788"/>
    </row>
    <row r="54" spans="1:35" s="40" customFormat="1" ht="23.1" customHeight="1">
      <c r="A54" s="903"/>
      <c r="C54" s="47"/>
      <c r="D54" s="292"/>
      <c r="E54" s="292"/>
      <c r="F54" s="293"/>
      <c r="G54" s="293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56"/>
      <c r="V54" s="786"/>
      <c r="W54" s="787"/>
      <c r="X54" s="787"/>
      <c r="Y54" s="787"/>
      <c r="Z54" s="787"/>
      <c r="AA54" s="787"/>
      <c r="AB54" s="787"/>
      <c r="AC54" s="787"/>
      <c r="AD54" s="787"/>
      <c r="AE54" s="787"/>
      <c r="AF54" s="787"/>
      <c r="AG54" s="787"/>
      <c r="AH54" s="787"/>
      <c r="AI54" s="788"/>
    </row>
    <row r="55" spans="1:35" ht="23.1" customHeight="1" thickBot="1">
      <c r="A55" s="903"/>
      <c r="C55" s="50"/>
      <c r="D55" s="1148"/>
      <c r="E55" s="1148"/>
      <c r="F55" s="1148"/>
      <c r="G55" s="1148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51"/>
      <c r="T55" s="52"/>
      <c r="V55" s="789"/>
      <c r="W55" s="790"/>
      <c r="X55" s="790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1"/>
    </row>
    <row r="56" spans="1:35" ht="23.1" customHeight="1">
      <c r="A56" s="32"/>
      <c r="U56" s="32" t="s">
        <v>140</v>
      </c>
    </row>
    <row r="57" spans="1:35" ht="12.75">
      <c r="A57" s="32"/>
      <c r="D57" s="53" t="s">
        <v>39</v>
      </c>
      <c r="S57" s="30" t="s">
        <v>457</v>
      </c>
    </row>
    <row r="58" spans="1:35" ht="12.75">
      <c r="A58" s="32"/>
      <c r="D58" s="53" t="s">
        <v>41</v>
      </c>
    </row>
    <row r="59" spans="1:35" ht="12.75">
      <c r="A59" s="32"/>
      <c r="D59" s="53" t="s">
        <v>42</v>
      </c>
    </row>
    <row r="60" spans="1:35" ht="12.75">
      <c r="A60" s="32"/>
      <c r="D60" s="53" t="s">
        <v>43</v>
      </c>
    </row>
    <row r="61" spans="1:35" ht="12.75">
      <c r="A61" s="32"/>
      <c r="D61" s="53" t="s">
        <v>44</v>
      </c>
    </row>
    <row r="62" spans="1:35" ht="23.1" customHeight="1">
      <c r="A62" s="32"/>
    </row>
    <row r="63" spans="1:35" ht="23.1" customHeight="1">
      <c r="A63" s="32"/>
    </row>
    <row r="64" spans="1:35" ht="23.1" customHeight="1">
      <c r="A64" s="369"/>
    </row>
    <row r="65" spans="1:1" ht="23.1" customHeight="1">
      <c r="A65" s="24"/>
    </row>
    <row r="66" spans="1:1" ht="23.1" customHeight="1">
      <c r="A66" s="24"/>
    </row>
    <row r="67" spans="1:1" ht="23.1" customHeight="1">
      <c r="A67" s="24"/>
    </row>
    <row r="68" spans="1:1" ht="23.1" customHeight="1">
      <c r="A68" s="24"/>
    </row>
    <row r="69" spans="1:1" ht="23.1" customHeight="1">
      <c r="A69" s="24"/>
    </row>
  </sheetData>
  <sheetProtection algorithmName="SHA-512" hashValue="ASLqXo4iGStB2EiJ3P2ov2z2zShHOxQS1fFUaNAj0793lmxIRogGhhduuShYP0voctvW8Q5tg43SGbUB07ut6Q==" saltValue="9sova9WY6cslxTayNqNNYQ==" spinCount="100000" sheet="1" insertRows="0"/>
  <mergeCells count="5">
    <mergeCell ref="S6:S7"/>
    <mergeCell ref="E9:S9"/>
    <mergeCell ref="D55:G55"/>
    <mergeCell ref="J13:N13"/>
    <mergeCell ref="D46:E46"/>
  </mergeCells>
  <phoneticPr fontId="16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EBEFF47C8C04146AC20B1127DD84E47" ma:contentTypeVersion="4" ma:contentTypeDescription="Crear nuevo documento." ma:contentTypeScope="" ma:versionID="1f9662f70be6c1eb9970ef4aad56af1d">
  <xsd:schema xmlns:xsd="http://www.w3.org/2001/XMLSchema" xmlns:xs="http://www.w3.org/2001/XMLSchema" xmlns:p="http://schemas.microsoft.com/office/2006/metadata/properties" xmlns:ns2="ffb62ea2-d30d-44c7-81c4-f43849f9d69b" xmlns:ns3="ae73b645-3f36-47b1-9f42-55ab5bddaef6" targetNamespace="http://schemas.microsoft.com/office/2006/metadata/properties" ma:root="true" ma:fieldsID="5ee369598af9a53fc09ec4d9d38f3655" ns2:_="" ns3:_="">
    <xsd:import namespace="ffb62ea2-d30d-44c7-81c4-f43849f9d69b"/>
    <xsd:import namespace="ae73b645-3f36-47b1-9f42-55ab5bddae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62ea2-d30d-44c7-81c4-f43849f9d6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3b645-3f36-47b1-9f42-55ab5bdda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b62ea2-d30d-44c7-81c4-f43849f9d69b">
      <UserInfo>
        <DisplayName>abreu</DisplayName>
        <AccountId>17</AccountId>
        <AccountType/>
      </UserInfo>
      <UserInfo>
        <DisplayName>patricia</DisplayName>
        <AccountId>20</AccountId>
        <AccountType/>
      </UserInfo>
      <UserInfo>
        <DisplayName>Esther</DisplayName>
        <AccountId>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2DDA1D-BEDC-478E-9AD9-B1802650F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62ea2-d30d-44c7-81c4-f43849f9d69b"/>
    <ds:schemaRef ds:uri="ae73b645-3f36-47b1-9f42-55ab5bdda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B2579C-2CFA-4E54-BE73-DEFB3608B863}">
  <ds:schemaRefs>
    <ds:schemaRef ds:uri="http://schemas.microsoft.com/office/2006/metadata/properties"/>
    <ds:schemaRef ds:uri="http://schemas.microsoft.com/office/infopath/2007/PartnerControls"/>
    <ds:schemaRef ds:uri="ffb62ea2-d30d-44c7-81c4-f43849f9d69b"/>
  </ds:schemaRefs>
</ds:datastoreItem>
</file>

<file path=customXml/itemProps3.xml><?xml version="1.0" encoding="utf-8"?>
<ds:datastoreItem xmlns:ds="http://schemas.openxmlformats.org/officeDocument/2006/customXml" ds:itemID="{BA699809-2575-4239-B121-4D2E1FD8C4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25</vt:i4>
      </vt:variant>
    </vt:vector>
  </HeadingPairs>
  <TitlesOfParts>
    <vt:vector size="48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FC-15_ENCARGOS</vt:lpstr>
      <vt:lpstr>_FC-16_ESTAB_PRESUP</vt:lpstr>
      <vt:lpstr>_FC-16_1_ INF_ADIC_ESTAB_PRESUP</vt:lpstr>
      <vt:lpstr>_FC-17_FINANCIACIÓN</vt:lpstr>
      <vt:lpstr>FC-90</vt:lpstr>
      <vt:lpstr>_FC-90_DETALLE</vt:lpstr>
      <vt:lpstr>_CHECK_LIST!Área_de_impresión</vt:lpstr>
      <vt:lpstr>'_FC-16_1_ INF_ADIC_ESTAB_PRESUP'!Área_de_impresión</vt:lpstr>
      <vt:lpstr>'_FC-16_ESTAB_PRESUP'!Área_de_impresión</vt:lpstr>
      <vt:lpstr>'_FC-17_FINANCIACIÓN'!Área_de_impresión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'FC-15_ENCARGOS'!Área_de_impresión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Ana Hernández Reyes</cp:lastModifiedBy>
  <cp:revision/>
  <dcterms:created xsi:type="dcterms:W3CDTF">2017-09-18T15:25:23Z</dcterms:created>
  <dcterms:modified xsi:type="dcterms:W3CDTF">2022-07-11T12:02:33Z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0x010100FEBEFF47C8C04146AC20B1127DD84E47</vt:lpwstr>
  </property>
</Properties>
</file>